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updateLinks="never" codeName="ThisWorkbook" defaultThemeVersion="124226"/>
  <mc:AlternateContent xmlns:mc="http://schemas.openxmlformats.org/markup-compatibility/2006">
    <mc:Choice Requires="x15">
      <x15ac:absPath xmlns:x15ac="http://schemas.microsoft.com/office/spreadsheetml/2010/11/ac" url="C:\Users\amir.afham\Documents\GHG\GHG assessment revision\Final version\FINAL\"/>
    </mc:Choice>
  </mc:AlternateContent>
  <xr:revisionPtr revIDLastSave="0" documentId="13_ncr:1_{E30ABAC5-B9BC-4ACB-90C5-A2D7AFE715A9}" xr6:coauthVersionLast="47" xr6:coauthVersionMax="47" xr10:uidLastSave="{00000000-0000-0000-0000-000000000000}"/>
  <bookViews>
    <workbookView xWindow="28680" yWindow="-120" windowWidth="38640" windowHeight="21240" tabRatio="621" xr2:uid="{00000000-000D-0000-FFFF-FFFF00000000}"/>
  </bookViews>
  <sheets>
    <sheet name="Introduction" sheetId="1" r:id="rId1"/>
    <sheet name="Abbreviation" sheetId="23" r:id="rId2"/>
    <sheet name="Instructions" sheetId="3" r:id="rId3"/>
    <sheet name="Results Summary" sheetId="4" r:id="rId4"/>
    <sheet name="1. LUC emissions" sheetId="18" r:id="rId5"/>
    <sheet name="2. FFB Production" sheetId="22" r:id="rId6"/>
    <sheet name="3. Field fuel" sheetId="8" r:id="rId7"/>
    <sheet name="4. Peat" sheetId="11" r:id="rId8"/>
    <sheet name="5. User defined fertiliser" sheetId="16" r:id="rId9"/>
    <sheet name="6. Fertiliser and N2O" sheetId="7" r:id="rId10"/>
    <sheet name="7. Conservation Area seq" sheetId="10" r:id="rId11"/>
    <sheet name="8. Crop sequestration" sheetId="19" r:id="rId12"/>
    <sheet name="9. Mill data" sheetId="21" r:id="rId13"/>
    <sheet name="Default data" sheetId="12" r:id="rId14"/>
    <sheet name="Allocation to crop products" sheetId="13" r:id="rId15"/>
    <sheet name="References" sheetId="14" r:id="rId16"/>
  </sheets>
  <externalReferences>
    <externalReference r:id="rId17"/>
    <externalReference r:id="rId18"/>
  </externalReferences>
  <definedNames>
    <definedName name="A" localSheetId="5">#REF!</definedName>
    <definedName name="A" localSheetId="12">#REF!</definedName>
    <definedName name="A" localSheetId="1">#REF!</definedName>
    <definedName name="A">#REF!</definedName>
    <definedName name="agro_inputs" localSheetId="5">#REF!</definedName>
    <definedName name="agro_inputs" localSheetId="12">#REF!</definedName>
    <definedName name="agro_inputs" localSheetId="1">#REF!</definedName>
    <definedName name="agro_inputs">#REF!</definedName>
    <definedName name="chemicals" localSheetId="5">#REF!</definedName>
    <definedName name="chemicals" localSheetId="12">#REF!</definedName>
    <definedName name="chemicals" localSheetId="1">#REF!</definedName>
    <definedName name="chemicals">#REF!</definedName>
    <definedName name="ChoiceListFeedstocks">[1]Chains!$H$11:$H$12</definedName>
    <definedName name="EF_agro_inputs" localSheetId="5">#REF!</definedName>
    <definedName name="EF_agro_inputs" localSheetId="12">#REF!</definedName>
    <definedName name="EF_agro_inputs" localSheetId="1">#REF!</definedName>
    <definedName name="EF_agro_inputs">#REF!</definedName>
    <definedName name="EF_chemicals_kg" localSheetId="5">#REF!</definedName>
    <definedName name="EF_chemicals_kg" localSheetId="12">#REF!</definedName>
    <definedName name="EF_chemicals_kg" localSheetId="1">#REF!</definedName>
    <definedName name="EF_chemicals_kg">#REF!</definedName>
    <definedName name="EF_chemicals_MJ" localSheetId="5">#REF!</definedName>
    <definedName name="EF_chemicals_MJ" localSheetId="12">#REF!</definedName>
    <definedName name="EF_chemicals_MJ" localSheetId="1">#REF!</definedName>
    <definedName name="EF_chemicals_MJ">#REF!</definedName>
    <definedName name="EF_electricity" localSheetId="5">#REF!</definedName>
    <definedName name="EF_electricity" localSheetId="12">#REF!</definedName>
    <definedName name="EF_electricity" localSheetId="1">#REF!</definedName>
    <definedName name="EF_electricity">#REF!</definedName>
    <definedName name="EF_fuels_MJ" localSheetId="5">#REF!</definedName>
    <definedName name="EF_fuels_MJ" localSheetId="12">#REF!</definedName>
    <definedName name="EF_fuels_MJ" localSheetId="1">#REF!</definedName>
    <definedName name="EF_fuels_MJ">#REF!</definedName>
    <definedName name="electricity" localSheetId="5">#REF!</definedName>
    <definedName name="electricity" localSheetId="12">#REF!</definedName>
    <definedName name="electricity" localSheetId="1">#REF!</definedName>
    <definedName name="electricity">#REF!</definedName>
    <definedName name="FE_transport" localSheetId="5">#REF!</definedName>
    <definedName name="FE_transport" localSheetId="12">#REF!</definedName>
    <definedName name="FE_transport" localSheetId="1">#REF!</definedName>
    <definedName name="FE_transport">#REF!</definedName>
    <definedName name="fuels" localSheetId="5">#REF!</definedName>
    <definedName name="fuels" localSheetId="12">#REF!</definedName>
    <definedName name="fuels" localSheetId="1">#REF!</definedName>
    <definedName name="fuels">#REF!</definedName>
    <definedName name="LandUse">'1. LUC emissions'!$A$6:$A$21</definedName>
    <definedName name="LandUseType">'1. LUC emissions'!$A$6:$A$21</definedName>
    <definedName name="LHV_fuels" localSheetId="5">#REF!</definedName>
    <definedName name="LHV_fuels" localSheetId="12">#REF!</definedName>
    <definedName name="LHV_fuels" localSheetId="1">#REF!</definedName>
    <definedName name="LHV_fuels">#REF!</definedName>
    <definedName name="LHV_solids" localSheetId="5">#REF!</definedName>
    <definedName name="LHV_solids" localSheetId="12">#REF!</definedName>
    <definedName name="LHV_solids" localSheetId="1">#REF!</definedName>
    <definedName name="LHV_solids">#REF!</definedName>
    <definedName name="Option_A_0_B_1">[2]About!$B$79</definedName>
    <definedName name="Options" localSheetId="5">#REF!</definedName>
    <definedName name="Options" localSheetId="12">#REF!</definedName>
    <definedName name="Options" localSheetId="1">#REF!</definedName>
    <definedName name="Options">#REF!</definedName>
    <definedName name="solids" localSheetId="5">#REF!</definedName>
    <definedName name="solids" localSheetId="12">#REF!</definedName>
    <definedName name="solids" localSheetId="1">#REF!</definedName>
    <definedName name="solids">#REF!</definedName>
    <definedName name="Transport" localSheetId="5">#REF!</definedName>
    <definedName name="Transport" localSheetId="12">#REF!</definedName>
    <definedName name="Transport" localSheetId="1">#REF!</definedName>
    <definedName name="Transport">#REF!</definedName>
  </definedNames>
  <calcPr calcId="191029" concurrentCalc="0"/>
  <customWorkbookViews>
    <customWorkbookView name="Melissa.chin - Personal View" guid="{E65377FD-65C5-4E48-ADBC-1C49981F2400}" mergeInterval="0" personalView="1" maximized="1" xWindow="1" yWindow="1" windowWidth="1362" windowHeight="538"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8" l="1"/>
  <c r="A23" i="7"/>
  <c r="A48" i="7"/>
  <c r="A22" i="7"/>
  <c r="A47" i="7"/>
  <c r="A21" i="7"/>
  <c r="A46" i="7"/>
  <c r="A20" i="7"/>
  <c r="A45" i="7"/>
  <c r="A19" i="7"/>
  <c r="A44" i="7"/>
  <c r="E28" i="18"/>
  <c r="F28" i="18"/>
  <c r="C28" i="18"/>
  <c r="B39" i="18"/>
  <c r="E81" i="7"/>
  <c r="E82" i="7"/>
  <c r="G64" i="4"/>
  <c r="G66" i="4"/>
  <c r="G67" i="4"/>
  <c r="G68" i="4"/>
  <c r="G63" i="4"/>
  <c r="H9" i="4"/>
  <c r="H8" i="4"/>
  <c r="H7" i="4"/>
  <c r="H5" i="4"/>
  <c r="H4" i="4"/>
  <c r="E83" i="7"/>
  <c r="E84" i="7"/>
  <c r="E85" i="7"/>
  <c r="C345" i="12"/>
  <c r="C344" i="12"/>
  <c r="C340" i="12"/>
  <c r="C339" i="12"/>
  <c r="C338" i="12"/>
  <c r="C334" i="12"/>
  <c r="C333" i="12"/>
  <c r="C332" i="12"/>
  <c r="C331" i="12"/>
  <c r="C330" i="12"/>
  <c r="C316" i="12"/>
  <c r="C315" i="12"/>
  <c r="C311" i="12"/>
  <c r="C310" i="12"/>
  <c r="C309" i="12"/>
  <c r="C305" i="12"/>
  <c r="C304" i="12"/>
  <c r="C303" i="12"/>
  <c r="C302" i="12"/>
  <c r="C301" i="12"/>
  <c r="C287" i="12"/>
  <c r="C286" i="12"/>
  <c r="C282" i="12"/>
  <c r="C281" i="12"/>
  <c r="C280" i="12"/>
  <c r="C276" i="12"/>
  <c r="C275" i="12"/>
  <c r="C274" i="12"/>
  <c r="C273" i="12"/>
  <c r="C272" i="12"/>
  <c r="C258" i="12"/>
  <c r="C257" i="12"/>
  <c r="C253" i="12"/>
  <c r="C252" i="12"/>
  <c r="C251" i="12"/>
  <c r="C247" i="12"/>
  <c r="C246" i="12"/>
  <c r="C245" i="12"/>
  <c r="C244" i="12"/>
  <c r="C243" i="12"/>
  <c r="C229" i="12"/>
  <c r="C228" i="12"/>
  <c r="C224" i="12"/>
  <c r="C223" i="12"/>
  <c r="C222" i="12"/>
  <c r="C218" i="12"/>
  <c r="C217" i="12"/>
  <c r="C216" i="12"/>
  <c r="C215" i="12"/>
  <c r="C214" i="12"/>
  <c r="B346" i="12"/>
  <c r="B341" i="12"/>
  <c r="B335" i="12"/>
  <c r="B317" i="12"/>
  <c r="B312" i="12"/>
  <c r="B306" i="12"/>
  <c r="B288" i="12"/>
  <c r="B283" i="12"/>
  <c r="B277" i="12"/>
  <c r="B259" i="12"/>
  <c r="B254" i="12"/>
  <c r="B248" i="12"/>
  <c r="B230" i="12"/>
  <c r="B225" i="12"/>
  <c r="B219" i="12"/>
  <c r="C200" i="12"/>
  <c r="C199" i="12"/>
  <c r="C195" i="12"/>
  <c r="C194" i="12"/>
  <c r="C193" i="12"/>
  <c r="C189" i="12"/>
  <c r="C188" i="12"/>
  <c r="C187" i="12"/>
  <c r="C186" i="12"/>
  <c r="C185" i="12"/>
  <c r="C171" i="12"/>
  <c r="C170" i="12"/>
  <c r="C166" i="12"/>
  <c r="C165" i="12"/>
  <c r="C164" i="12"/>
  <c r="C160" i="12"/>
  <c r="C159" i="12"/>
  <c r="C158" i="12"/>
  <c r="C157" i="12"/>
  <c r="C156" i="12"/>
  <c r="C142" i="12"/>
  <c r="C141" i="12"/>
  <c r="C137" i="12"/>
  <c r="C136" i="12"/>
  <c r="C135" i="12"/>
  <c r="C131" i="12"/>
  <c r="C130" i="12"/>
  <c r="C129" i="12"/>
  <c r="C128" i="12"/>
  <c r="C127" i="12"/>
  <c r="B201" i="12"/>
  <c r="B196" i="12"/>
  <c r="B190" i="12"/>
  <c r="B172" i="12"/>
  <c r="B167" i="12"/>
  <c r="B161" i="12"/>
  <c r="B143" i="12"/>
  <c r="B138" i="12"/>
  <c r="B132" i="12"/>
  <c r="C27" i="18"/>
  <c r="C172" i="12"/>
  <c r="C173" i="12"/>
  <c r="C277" i="12"/>
  <c r="C278" i="12"/>
  <c r="C288" i="12"/>
  <c r="C143" i="12"/>
  <c r="C341" i="12"/>
  <c r="C342" i="12"/>
  <c r="C289" i="12"/>
  <c r="C312" i="12"/>
  <c r="C313" i="12"/>
  <c r="C225" i="12"/>
  <c r="C226" i="12"/>
  <c r="C230" i="12"/>
  <c r="C231" i="12"/>
  <c r="C259" i="12"/>
  <c r="C260" i="12"/>
  <c r="C317" i="12"/>
  <c r="C318" i="12"/>
  <c r="C306" i="12"/>
  <c r="C307" i="12"/>
  <c r="C248" i="12"/>
  <c r="C249" i="12"/>
  <c r="C283" i="12"/>
  <c r="C284" i="12"/>
  <c r="C346" i="12"/>
  <c r="C347" i="12"/>
  <c r="C254" i="12"/>
  <c r="C255" i="12"/>
  <c r="C335" i="12"/>
  <c r="C336" i="12"/>
  <c r="C219" i="12"/>
  <c r="C220" i="12"/>
  <c r="C161" i="12"/>
  <c r="C162" i="12"/>
  <c r="C144" i="12"/>
  <c r="C132" i="12"/>
  <c r="C133" i="12"/>
  <c r="C138" i="12"/>
  <c r="C139" i="12"/>
  <c r="C196" i="12"/>
  <c r="C197" i="12"/>
  <c r="C201" i="12"/>
  <c r="C202" i="12"/>
  <c r="C167" i="12"/>
  <c r="C168" i="12"/>
  <c r="C190" i="12"/>
  <c r="C191" i="12"/>
  <c r="C113" i="12"/>
  <c r="C112" i="12"/>
  <c r="C99" i="12"/>
  <c r="C98" i="12"/>
  <c r="B114" i="12"/>
  <c r="B109" i="12"/>
  <c r="C108" i="12"/>
  <c r="C107" i="12"/>
  <c r="C106" i="12"/>
  <c r="B103" i="12"/>
  <c r="C102" i="12"/>
  <c r="C101" i="12"/>
  <c r="C100" i="12"/>
  <c r="C216" i="16"/>
  <c r="C190" i="16"/>
  <c r="C242" i="16"/>
  <c r="C86" i="16"/>
  <c r="C164" i="16"/>
  <c r="C138" i="16"/>
  <c r="C112" i="16"/>
  <c r="C268" i="16"/>
  <c r="C114" i="12"/>
  <c r="C115" i="12"/>
  <c r="C109" i="12"/>
  <c r="C110" i="12"/>
  <c r="C103" i="12"/>
  <c r="C104" i="12"/>
  <c r="C60" i="16"/>
  <c r="C21" i="7"/>
  <c r="E52" i="12"/>
  <c r="E59" i="12"/>
  <c r="E58" i="12"/>
  <c r="E57" i="12"/>
  <c r="E56" i="12"/>
  <c r="E55" i="12"/>
  <c r="E54" i="12"/>
  <c r="E53" i="12"/>
  <c r="D59" i="12"/>
  <c r="D58" i="12"/>
  <c r="D57" i="12"/>
  <c r="D56" i="12"/>
  <c r="D55" i="12"/>
  <c r="D54" i="12"/>
  <c r="D53" i="12"/>
  <c r="D52" i="12"/>
  <c r="D51" i="12"/>
  <c r="D50" i="12"/>
  <c r="B54" i="12"/>
  <c r="I54" i="12"/>
  <c r="B53" i="12"/>
  <c r="I53" i="12"/>
  <c r="B52" i="12"/>
  <c r="J52" i="12"/>
  <c r="B51" i="12"/>
  <c r="I51" i="12"/>
  <c r="B55" i="12"/>
  <c r="B56" i="12"/>
  <c r="B57" i="12"/>
  <c r="J57" i="12"/>
  <c r="B58" i="12"/>
  <c r="J58" i="12"/>
  <c r="B59" i="12"/>
  <c r="J59" i="12"/>
  <c r="E51" i="12"/>
  <c r="E50" i="12"/>
  <c r="B50" i="12"/>
  <c r="I50" i="12"/>
  <c r="A59" i="12"/>
  <c r="A58" i="12"/>
  <c r="A57" i="12"/>
  <c r="A56" i="12"/>
  <c r="A55" i="12"/>
  <c r="A54" i="12"/>
  <c r="A53" i="12"/>
  <c r="A52" i="12"/>
  <c r="A51" i="12"/>
  <c r="A50" i="12"/>
  <c r="A28" i="7"/>
  <c r="A53" i="7"/>
  <c r="A27" i="7"/>
  <c r="A52" i="7"/>
  <c r="A26" i="7"/>
  <c r="A51" i="7"/>
  <c r="A25" i="7"/>
  <c r="A50" i="7"/>
  <c r="A24" i="7"/>
  <c r="A49" i="7"/>
  <c r="C25" i="7"/>
  <c r="C26" i="7"/>
  <c r="C27" i="7"/>
  <c r="C28" i="7"/>
  <c r="E70" i="7"/>
  <c r="E69" i="7"/>
  <c r="B79" i="21"/>
  <c r="G254" i="16"/>
  <c r="H254" i="16"/>
  <c r="H252" i="16"/>
  <c r="I252" i="16"/>
  <c r="J250" i="16"/>
  <c r="G228" i="16"/>
  <c r="H228" i="16"/>
  <c r="H226" i="16"/>
  <c r="I226" i="16"/>
  <c r="J224" i="16"/>
  <c r="G202" i="16"/>
  <c r="H202" i="16"/>
  <c r="H200" i="16"/>
  <c r="I200" i="16"/>
  <c r="J198" i="16"/>
  <c r="G176" i="16"/>
  <c r="H176" i="16"/>
  <c r="H174" i="16"/>
  <c r="I174" i="16"/>
  <c r="J172" i="16"/>
  <c r="G150" i="16"/>
  <c r="H150" i="16"/>
  <c r="H148" i="16"/>
  <c r="I148" i="16"/>
  <c r="J146" i="16"/>
  <c r="G124" i="16"/>
  <c r="H124" i="16"/>
  <c r="H122" i="16"/>
  <c r="I122" i="16"/>
  <c r="J120" i="16"/>
  <c r="G98" i="16"/>
  <c r="H98" i="16"/>
  <c r="H96" i="16"/>
  <c r="I96" i="16"/>
  <c r="J94" i="16"/>
  <c r="G72" i="16"/>
  <c r="H72" i="16"/>
  <c r="H70" i="16"/>
  <c r="I70" i="16"/>
  <c r="J68" i="16"/>
  <c r="G46" i="16"/>
  <c r="H46" i="16"/>
  <c r="H44" i="16"/>
  <c r="I44" i="16"/>
  <c r="J42" i="16"/>
  <c r="B7" i="18"/>
  <c r="B8" i="18"/>
  <c r="B9" i="18"/>
  <c r="B10" i="18"/>
  <c r="B11" i="18"/>
  <c r="B6" i="18"/>
  <c r="B13" i="18"/>
  <c r="B12" i="18"/>
  <c r="C12" i="18"/>
  <c r="A7" i="18"/>
  <c r="A8" i="18"/>
  <c r="A9" i="18"/>
  <c r="A10" i="18"/>
  <c r="A11" i="18"/>
  <c r="A6" i="18"/>
  <c r="C47" i="18"/>
  <c r="C45" i="18"/>
  <c r="C46" i="18"/>
  <c r="C48" i="18"/>
  <c r="C49" i="18"/>
  <c r="C50" i="18"/>
  <c r="C51" i="18"/>
  <c r="C52" i="18"/>
  <c r="C53" i="18"/>
  <c r="C54" i="18"/>
  <c r="C55" i="18"/>
  <c r="C44" i="18"/>
  <c r="E47" i="18"/>
  <c r="F47" i="18"/>
  <c r="E46" i="18"/>
  <c r="E45" i="18"/>
  <c r="F45" i="18"/>
  <c r="E48" i="18"/>
  <c r="F48" i="18"/>
  <c r="E49" i="18"/>
  <c r="F49" i="18"/>
  <c r="E50" i="18"/>
  <c r="F50" i="18"/>
  <c r="E51" i="18"/>
  <c r="E52" i="18"/>
  <c r="F52" i="18"/>
  <c r="E53" i="18"/>
  <c r="F53" i="18"/>
  <c r="E54" i="18"/>
  <c r="E55" i="18"/>
  <c r="F55" i="18"/>
  <c r="E44" i="18"/>
  <c r="F44" i="18"/>
  <c r="E27" i="18"/>
  <c r="F27" i="18"/>
  <c r="E32" i="18"/>
  <c r="E33" i="18"/>
  <c r="E34" i="18"/>
  <c r="E35" i="18"/>
  <c r="E36" i="18"/>
  <c r="E37" i="18"/>
  <c r="E38" i="18"/>
  <c r="F38" i="18"/>
  <c r="C32" i="18"/>
  <c r="C33" i="18"/>
  <c r="C34" i="18"/>
  <c r="C35" i="18"/>
  <c r="C36" i="18"/>
  <c r="C37" i="18"/>
  <c r="C38" i="18"/>
  <c r="C31" i="18"/>
  <c r="F46" i="18"/>
  <c r="F51" i="18"/>
  <c r="F54" i="18"/>
  <c r="C30" i="18"/>
  <c r="C16" i="18"/>
  <c r="C17" i="18"/>
  <c r="C18" i="18"/>
  <c r="E31" i="18"/>
  <c r="C19" i="18"/>
  <c r="C20" i="18"/>
  <c r="C21" i="18"/>
  <c r="C15" i="18"/>
  <c r="C14" i="18"/>
  <c r="C56" i="18"/>
  <c r="J54" i="12"/>
  <c r="K54" i="12"/>
  <c r="L54" i="12"/>
  <c r="J53" i="12"/>
  <c r="K53" i="12"/>
  <c r="L53" i="12"/>
  <c r="J51" i="12"/>
  <c r="K51" i="12"/>
  <c r="L51" i="12"/>
  <c r="J50" i="12"/>
  <c r="K50" i="12"/>
  <c r="L50" i="12"/>
  <c r="I57" i="12"/>
  <c r="K57" i="12"/>
  <c r="L57" i="12"/>
  <c r="I58" i="12"/>
  <c r="K58" i="12"/>
  <c r="L58" i="12"/>
  <c r="I52" i="12"/>
  <c r="K52" i="12"/>
  <c r="L52" i="12"/>
  <c r="I59" i="12"/>
  <c r="K59" i="12"/>
  <c r="L59" i="12"/>
  <c r="F56" i="18"/>
  <c r="E56" i="18"/>
  <c r="B80" i="21"/>
  <c r="B68" i="21"/>
  <c r="B67" i="21"/>
  <c r="B38" i="4"/>
  <c r="F36" i="18"/>
  <c r="C81" i="12"/>
  <c r="C82" i="12"/>
  <c r="C77" i="12"/>
  <c r="C76" i="12"/>
  <c r="C75" i="12"/>
  <c r="C71" i="12"/>
  <c r="C70" i="12"/>
  <c r="C69" i="12"/>
  <c r="C68" i="12"/>
  <c r="C67" i="12"/>
  <c r="B83" i="12"/>
  <c r="B78" i="12"/>
  <c r="B72" i="12"/>
  <c r="H24" i="12"/>
  <c r="C11" i="18"/>
  <c r="H23" i="12"/>
  <c r="C10" i="18"/>
  <c r="H22" i="12"/>
  <c r="C9" i="18"/>
  <c r="E30" i="18"/>
  <c r="H21" i="12"/>
  <c r="C8" i="18"/>
  <c r="E29" i="18"/>
  <c r="H20" i="12"/>
  <c r="C7" i="18"/>
  <c r="H19" i="12"/>
  <c r="C6" i="18"/>
  <c r="C8" i="10"/>
  <c r="B11" i="4"/>
  <c r="I9" i="4"/>
  <c r="G36" i="4"/>
  <c r="G34" i="4"/>
  <c r="G33" i="4"/>
  <c r="G31" i="4"/>
  <c r="G30" i="4"/>
  <c r="G29" i="4"/>
  <c r="B7" i="13"/>
  <c r="B6" i="13"/>
  <c r="C20" i="7"/>
  <c r="C22" i="7"/>
  <c r="C23" i="7"/>
  <c r="C24" i="7"/>
  <c r="B73" i="21"/>
  <c r="B39" i="4"/>
  <c r="H36" i="4"/>
  <c r="I56" i="12"/>
  <c r="J56" i="12"/>
  <c r="E39" i="18"/>
  <c r="C78" i="12"/>
  <c r="C79" i="12"/>
  <c r="B9" i="13"/>
  <c r="B10" i="13"/>
  <c r="K56" i="12"/>
  <c r="L56" i="12"/>
  <c r="C83" i="12"/>
  <c r="C84" i="12"/>
  <c r="C72" i="12"/>
  <c r="C73" i="12"/>
  <c r="B30" i="21"/>
  <c r="B29" i="21"/>
  <c r="B28" i="21"/>
  <c r="B27" i="21"/>
  <c r="B15" i="21"/>
  <c r="B14" i="21"/>
  <c r="B54" i="21"/>
  <c r="B53" i="21"/>
  <c r="B51" i="21"/>
  <c r="B50" i="21"/>
  <c r="B48" i="21"/>
  <c r="B46" i="21"/>
  <c r="B44" i="21"/>
  <c r="B43" i="21"/>
  <c r="B42" i="21"/>
  <c r="B40" i="21"/>
  <c r="C34" i="16"/>
  <c r="G50" i="12"/>
  <c r="E19" i="7"/>
  <c r="G57" i="12"/>
  <c r="E26" i="7"/>
  <c r="G58" i="12"/>
  <c r="E27" i="7"/>
  <c r="G53" i="12"/>
  <c r="E22" i="7"/>
  <c r="G52" i="12"/>
  <c r="E21" i="7"/>
  <c r="G55" i="12"/>
  <c r="E24" i="7"/>
  <c r="G54" i="12"/>
  <c r="E23" i="7"/>
  <c r="G51" i="12"/>
  <c r="E20" i="7"/>
  <c r="G56" i="12"/>
  <c r="E25" i="7"/>
  <c r="G59" i="12"/>
  <c r="E28" i="7"/>
  <c r="B45" i="21"/>
  <c r="B49" i="21"/>
  <c r="B55" i="21"/>
  <c r="B11" i="11"/>
  <c r="B14" i="11"/>
  <c r="B13" i="11"/>
  <c r="B16" i="11"/>
  <c r="B12" i="11"/>
  <c r="B15" i="11"/>
  <c r="B56" i="18"/>
  <c r="E93" i="7"/>
  <c r="C39" i="18"/>
  <c r="C13" i="18"/>
  <c r="P31" i="19"/>
  <c r="Q31" i="19"/>
  <c r="P30" i="19"/>
  <c r="Q30" i="19"/>
  <c r="P29" i="19"/>
  <c r="Q29" i="19"/>
  <c r="P28" i="19"/>
  <c r="Q28" i="19"/>
  <c r="P27" i="19"/>
  <c r="Q27" i="19"/>
  <c r="P26" i="19"/>
  <c r="Q26" i="19"/>
  <c r="P25" i="19"/>
  <c r="Q25" i="19"/>
  <c r="P24" i="19"/>
  <c r="Q24" i="19"/>
  <c r="P23" i="19"/>
  <c r="Q23" i="19"/>
  <c r="P22" i="19"/>
  <c r="Q22" i="19"/>
  <c r="P21" i="19"/>
  <c r="Q21" i="19"/>
  <c r="P20" i="19"/>
  <c r="Q20" i="19"/>
  <c r="P19" i="19"/>
  <c r="Q19" i="19"/>
  <c r="P18" i="19"/>
  <c r="Q18" i="19"/>
  <c r="P17" i="19"/>
  <c r="Q17" i="19"/>
  <c r="P16" i="19"/>
  <c r="Q16" i="19"/>
  <c r="P15" i="19"/>
  <c r="Q15" i="19"/>
  <c r="P14" i="19"/>
  <c r="Q14" i="19"/>
  <c r="P13" i="19"/>
  <c r="Q13" i="19"/>
  <c r="P12" i="19"/>
  <c r="Q12" i="19"/>
  <c r="P11" i="19"/>
  <c r="Q11" i="19"/>
  <c r="P10" i="19"/>
  <c r="Q10" i="19"/>
  <c r="P9" i="19"/>
  <c r="Q9" i="19"/>
  <c r="P8" i="19"/>
  <c r="Q8" i="19"/>
  <c r="P7" i="19"/>
  <c r="Q7" i="19"/>
  <c r="G31" i="19"/>
  <c r="H31" i="19"/>
  <c r="G30" i="19"/>
  <c r="H30" i="19"/>
  <c r="G29" i="19"/>
  <c r="H29" i="19"/>
  <c r="G28" i="19"/>
  <c r="H28" i="19"/>
  <c r="G27" i="19"/>
  <c r="H27" i="19"/>
  <c r="G26" i="19"/>
  <c r="H26" i="19"/>
  <c r="G25" i="19"/>
  <c r="H25" i="19"/>
  <c r="G24" i="19"/>
  <c r="H24" i="19"/>
  <c r="G23" i="19"/>
  <c r="H23" i="19"/>
  <c r="G22" i="19"/>
  <c r="H22" i="19"/>
  <c r="G21" i="19"/>
  <c r="H21" i="19"/>
  <c r="G20" i="19"/>
  <c r="H20" i="19"/>
  <c r="G19" i="19"/>
  <c r="H19" i="19"/>
  <c r="G18" i="19"/>
  <c r="H18" i="19"/>
  <c r="G17" i="19"/>
  <c r="H17" i="19"/>
  <c r="G16" i="19"/>
  <c r="H16" i="19"/>
  <c r="G15" i="19"/>
  <c r="H15" i="19"/>
  <c r="G14" i="19"/>
  <c r="H14" i="19"/>
  <c r="G13" i="19"/>
  <c r="H13" i="19"/>
  <c r="G12" i="19"/>
  <c r="H12" i="19"/>
  <c r="G11" i="19"/>
  <c r="H11" i="19"/>
  <c r="G10" i="19"/>
  <c r="H10" i="19"/>
  <c r="G9" i="19"/>
  <c r="H9" i="19"/>
  <c r="G8" i="19"/>
  <c r="H8" i="19"/>
  <c r="G7" i="19"/>
  <c r="H7" i="19"/>
  <c r="C59" i="18"/>
  <c r="E48" i="7"/>
  <c r="B18" i="11"/>
  <c r="H64" i="4"/>
  <c r="B47" i="21"/>
  <c r="E71" i="7"/>
  <c r="E47" i="7"/>
  <c r="H47" i="7"/>
  <c r="E50" i="7"/>
  <c r="H50" i="7"/>
  <c r="C11" i="4"/>
  <c r="E45" i="7"/>
  <c r="H45" i="7"/>
  <c r="C14" i="8"/>
  <c r="E37" i="7"/>
  <c r="I37" i="7"/>
  <c r="I54" i="7"/>
  <c r="E51" i="7"/>
  <c r="H51" i="7"/>
  <c r="B6" i="4"/>
  <c r="I5" i="4"/>
  <c r="E52" i="7"/>
  <c r="H52" i="7"/>
  <c r="E46" i="7"/>
  <c r="H46" i="7"/>
  <c r="E53" i="7"/>
  <c r="H53" i="7"/>
  <c r="E49" i="7"/>
  <c r="H48" i="7"/>
  <c r="E79" i="7"/>
  <c r="B30" i="4"/>
  <c r="B10" i="4"/>
  <c r="C6" i="4"/>
  <c r="I14" i="8"/>
  <c r="E41" i="7"/>
  <c r="E39" i="7"/>
  <c r="B7" i="22"/>
  <c r="B8" i="22"/>
  <c r="L14" i="8"/>
  <c r="E38" i="7"/>
  <c r="E34" i="7"/>
  <c r="C7" i="10"/>
  <c r="F14" i="8"/>
  <c r="C39" i="4"/>
  <c r="E44" i="7"/>
  <c r="E36" i="7"/>
  <c r="C38" i="4"/>
  <c r="E59" i="7"/>
  <c r="E40" i="7"/>
  <c r="E43" i="7"/>
  <c r="E42" i="7"/>
  <c r="E35" i="7"/>
  <c r="C26" i="4"/>
  <c r="H30" i="4"/>
  <c r="F29" i="18"/>
  <c r="F30" i="18"/>
  <c r="F31" i="18"/>
  <c r="F32" i="18"/>
  <c r="F33" i="18"/>
  <c r="F34" i="18"/>
  <c r="F35" i="18"/>
  <c r="F37" i="18"/>
  <c r="H44" i="7"/>
  <c r="C30" i="4"/>
  <c r="H67" i="4"/>
  <c r="C10" i="4"/>
  <c r="I8" i="4"/>
  <c r="H31" i="4"/>
  <c r="F39" i="18"/>
  <c r="C60" i="18"/>
  <c r="B25" i="4"/>
  <c r="D26" i="4"/>
  <c r="D10" i="4"/>
  <c r="D11" i="4"/>
  <c r="D6" i="4"/>
  <c r="D30" i="4"/>
  <c r="B6" i="21"/>
  <c r="B20" i="21"/>
  <c r="B5" i="4"/>
  <c r="C5" i="4"/>
  <c r="D38" i="4"/>
  <c r="B33" i="21"/>
  <c r="B34" i="21"/>
  <c r="B58" i="21"/>
  <c r="H20" i="21"/>
  <c r="D39" i="4"/>
  <c r="K20" i="21"/>
  <c r="B9" i="21"/>
  <c r="B74" i="21"/>
  <c r="B10" i="21"/>
  <c r="B71" i="21"/>
  <c r="E20" i="21"/>
  <c r="H63" i="4"/>
  <c r="I4" i="4"/>
  <c r="D5" i="4"/>
  <c r="E68" i="7"/>
  <c r="E72" i="7"/>
  <c r="E73" i="7"/>
  <c r="B81" i="21"/>
  <c r="B40" i="4"/>
  <c r="H37" i="4"/>
  <c r="E58" i="7"/>
  <c r="B23" i="21"/>
  <c r="B37" i="4"/>
  <c r="C37" i="4"/>
  <c r="H29" i="4"/>
  <c r="C25" i="4"/>
  <c r="D25" i="4"/>
  <c r="B59" i="21"/>
  <c r="B60" i="21"/>
  <c r="C19" i="7"/>
  <c r="C40" i="4"/>
  <c r="D40" i="4"/>
  <c r="D37" i="4"/>
  <c r="B61" i="21"/>
  <c r="B36" i="4"/>
  <c r="B41" i="4"/>
  <c r="C41" i="4"/>
  <c r="J55" i="12"/>
  <c r="I55" i="12"/>
  <c r="G15" i="16"/>
  <c r="H15" i="16"/>
  <c r="H13" i="16"/>
  <c r="I13" i="16"/>
  <c r="J11" i="16"/>
  <c r="H34" i="4"/>
  <c r="C36" i="4"/>
  <c r="K55" i="12"/>
  <c r="L55" i="12"/>
  <c r="H49" i="7"/>
  <c r="D36" i="4"/>
  <c r="D41" i="4"/>
  <c r="C28" i="8"/>
  <c r="E20" i="8"/>
  <c r="C8" i="8"/>
  <c r="B29" i="11"/>
  <c r="C29" i="11"/>
  <c r="D29" i="11"/>
  <c r="E29" i="11"/>
  <c r="F29" i="11"/>
  <c r="G29" i="11"/>
  <c r="H29" i="11"/>
  <c r="I29" i="11"/>
  <c r="J29" i="11"/>
  <c r="K29" i="11"/>
  <c r="L29" i="11"/>
  <c r="M29" i="11"/>
  <c r="N29" i="11"/>
  <c r="O29" i="11"/>
  <c r="P29" i="11"/>
  <c r="Q29" i="11"/>
  <c r="R29" i="11"/>
  <c r="S29" i="11"/>
  <c r="T29" i="11"/>
  <c r="U29" i="11"/>
  <c r="V29" i="11"/>
  <c r="W29" i="11"/>
  <c r="X29" i="11"/>
  <c r="Y29" i="11"/>
  <c r="Z29" i="11"/>
  <c r="AA29" i="11"/>
  <c r="AB29" i="11"/>
  <c r="AC29" i="11"/>
  <c r="AD29" i="11"/>
  <c r="AE29" i="11"/>
  <c r="C27" i="8"/>
  <c r="C7" i="8"/>
  <c r="C17" i="8"/>
  <c r="C20" i="8"/>
  <c r="F20" i="8"/>
  <c r="B30" i="11"/>
  <c r="C30" i="11"/>
  <c r="D30" i="11"/>
  <c r="E30" i="11"/>
  <c r="F30" i="11"/>
  <c r="G30" i="11"/>
  <c r="H30" i="11"/>
  <c r="J30" i="11"/>
  <c r="K30" i="11"/>
  <c r="M30" i="11"/>
  <c r="N30" i="11"/>
  <c r="P30" i="11"/>
  <c r="Q30" i="11"/>
  <c r="R30" i="11"/>
  <c r="S30" i="11"/>
  <c r="U30" i="11"/>
  <c r="V30" i="11"/>
  <c r="X30" i="11"/>
  <c r="Y30" i="11"/>
  <c r="Z30" i="11"/>
  <c r="AA30" i="11"/>
  <c r="AB30" i="11"/>
  <c r="AC30" i="11"/>
  <c r="AD30" i="11"/>
  <c r="I40" i="12"/>
  <c r="J40" i="12"/>
  <c r="I41" i="12"/>
  <c r="J41" i="12"/>
  <c r="I42" i="12"/>
  <c r="J42" i="12"/>
  <c r="I43" i="12"/>
  <c r="J43" i="12"/>
  <c r="I44" i="12"/>
  <c r="J44" i="12"/>
  <c r="B14" i="12"/>
  <c r="C9" i="7"/>
  <c r="E9" i="7"/>
  <c r="C10" i="7"/>
  <c r="E10" i="7"/>
  <c r="C11" i="7"/>
  <c r="E11" i="7"/>
  <c r="C12" i="7"/>
  <c r="E12" i="7"/>
  <c r="C13" i="7"/>
  <c r="E13" i="7"/>
  <c r="C14" i="7"/>
  <c r="E14" i="7"/>
  <c r="C15" i="7"/>
  <c r="E15" i="7"/>
  <c r="C16" i="7"/>
  <c r="E16" i="7"/>
  <c r="C17" i="7"/>
  <c r="E17" i="7"/>
  <c r="C18" i="7"/>
  <c r="E18" i="7"/>
  <c r="B31" i="4"/>
  <c r="B23" i="8"/>
  <c r="E23" i="8"/>
  <c r="B24" i="8"/>
  <c r="E24" i="8"/>
  <c r="B22" i="8"/>
  <c r="E22" i="8"/>
  <c r="B21" i="8"/>
  <c r="E21" i="8"/>
  <c r="B27"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H33" i="4"/>
  <c r="H68" i="4"/>
  <c r="D26" i="7"/>
  <c r="F26" i="7"/>
  <c r="G51" i="7"/>
  <c r="D21" i="7"/>
  <c r="F21" i="7"/>
  <c r="G46" i="7"/>
  <c r="D27" i="7"/>
  <c r="F27" i="7"/>
  <c r="G52" i="7"/>
  <c r="D25" i="7"/>
  <c r="F25" i="7"/>
  <c r="G50" i="7"/>
  <c r="D28" i="7"/>
  <c r="F28" i="7"/>
  <c r="G53" i="7"/>
  <c r="B29" i="4"/>
  <c r="B9" i="4"/>
  <c r="I7" i="4"/>
  <c r="D14" i="7"/>
  <c r="F14" i="7"/>
  <c r="D23" i="7"/>
  <c r="F23" i="7"/>
  <c r="G48" i="7"/>
  <c r="D24" i="7"/>
  <c r="D20" i="7"/>
  <c r="F20" i="7"/>
  <c r="D22" i="7"/>
  <c r="F22" i="7"/>
  <c r="G47" i="7"/>
  <c r="D31" i="4"/>
  <c r="C31" i="4"/>
  <c r="K43" i="12"/>
  <c r="L43" i="12"/>
  <c r="H37" i="7"/>
  <c r="K41" i="12"/>
  <c r="L41" i="12"/>
  <c r="H35" i="7"/>
  <c r="D13" i="7"/>
  <c r="F13" i="7"/>
  <c r="G38" i="7"/>
  <c r="D15" i="7"/>
  <c r="F15" i="7"/>
  <c r="G40" i="7"/>
  <c r="D11" i="7"/>
  <c r="F11" i="7"/>
  <c r="D16" i="7"/>
  <c r="F16" i="7"/>
  <c r="D12" i="7"/>
  <c r="F12" i="7"/>
  <c r="D17" i="7"/>
  <c r="F17" i="7"/>
  <c r="D19" i="7"/>
  <c r="D9" i="7"/>
  <c r="F9" i="7"/>
  <c r="D18" i="7"/>
  <c r="F18" i="7"/>
  <c r="D10" i="7"/>
  <c r="F10" i="7"/>
  <c r="C31" i="8"/>
  <c r="E96" i="7"/>
  <c r="AE30" i="11"/>
  <c r="I30" i="11"/>
  <c r="T30" i="11"/>
  <c r="L30" i="11"/>
  <c r="W30" i="11"/>
  <c r="O30" i="11"/>
  <c r="K44" i="12"/>
  <c r="L44" i="12"/>
  <c r="H38" i="7"/>
  <c r="K42" i="12"/>
  <c r="L42" i="12"/>
  <c r="H36" i="7"/>
  <c r="K40" i="12"/>
  <c r="L40" i="12"/>
  <c r="H34" i="7"/>
  <c r="H66" i="4"/>
  <c r="E36" i="4"/>
  <c r="H54" i="7"/>
  <c r="E89" i="7"/>
  <c r="F24" i="7"/>
  <c r="G49" i="7"/>
  <c r="D9" i="4"/>
  <c r="C9" i="4"/>
  <c r="G45" i="7"/>
  <c r="F19" i="7"/>
  <c r="G44" i="7"/>
  <c r="D29" i="4"/>
  <c r="C29" i="4"/>
  <c r="H35" i="4"/>
  <c r="G34" i="7"/>
  <c r="G36" i="7"/>
  <c r="G43" i="7"/>
  <c r="G37" i="7"/>
  <c r="G35" i="7"/>
  <c r="D28" i="8"/>
  <c r="G42" i="7"/>
  <c r="G39" i="7"/>
  <c r="G41" i="7"/>
  <c r="G54" i="7"/>
  <c r="D27" i="8"/>
  <c r="C30" i="8"/>
  <c r="AG31" i="11"/>
  <c r="E60" i="7"/>
  <c r="E61" i="7"/>
  <c r="E62" i="7"/>
  <c r="E97" i="7"/>
  <c r="E100" i="7"/>
  <c r="E101" i="7"/>
  <c r="B27" i="4"/>
  <c r="B7" i="4"/>
  <c r="E63" i="7"/>
  <c r="E64" i="7"/>
  <c r="E65" i="7"/>
  <c r="E91" i="7"/>
  <c r="D27" i="4"/>
  <c r="C27" i="4"/>
  <c r="D7" i="4"/>
  <c r="C7" i="4"/>
  <c r="E74" i="7"/>
  <c r="E75" i="7"/>
  <c r="E76" i="7"/>
  <c r="E77" i="7"/>
  <c r="E86" i="7"/>
  <c r="E90" i="7"/>
  <c r="E92" i="7"/>
  <c r="E94" i="7"/>
  <c r="B28" i="4"/>
  <c r="H65" i="4"/>
  <c r="B8" i="4"/>
  <c r="C28" i="4"/>
  <c r="B32" i="4"/>
  <c r="B43" i="4"/>
  <c r="D28" i="4"/>
  <c r="H32" i="4"/>
  <c r="C8" i="4"/>
  <c r="D8" i="4"/>
  <c r="B12" i="4"/>
  <c r="I6" i="4"/>
  <c r="C32" i="4"/>
  <c r="D32" i="4"/>
  <c r="C12" i="4"/>
  <c r="D12" i="4"/>
  <c r="B46" i="4"/>
  <c r="H22" i="4"/>
  <c r="B47" i="4"/>
  <c r="H23" i="4"/>
  <c r="C31" i="11"/>
  <c r="B31" i="11"/>
  <c r="AD31" i="11"/>
  <c r="J31" i="11"/>
  <c r="Y31" i="11"/>
  <c r="Z31" i="11"/>
  <c r="M31" i="11"/>
  <c r="U31" i="11"/>
  <c r="O31" i="11"/>
  <c r="W31" i="11"/>
  <c r="V31" i="11"/>
  <c r="I31" i="11"/>
  <c r="AA31" i="11"/>
  <c r="K31" i="11"/>
  <c r="D31" i="11"/>
  <c r="S31" i="11"/>
  <c r="P31" i="11"/>
  <c r="E31" i="11"/>
  <c r="R31" i="11"/>
  <c r="AB31" i="11"/>
  <c r="Q31" i="11"/>
  <c r="AE31" i="11"/>
  <c r="L31" i="11"/>
  <c r="F31" i="11"/>
  <c r="X31" i="11"/>
  <c r="N31" i="11"/>
  <c r="G31" i="11"/>
  <c r="AC31" i="11"/>
  <c r="H31" i="11"/>
  <c r="T31" i="11"/>
  <c r="AF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Chin</author>
  </authors>
  <commentList>
    <comment ref="B23" authorId="0" shapeId="0" xr:uid="{00000000-0006-0000-0400-000001000000}">
      <text>
        <r>
          <rPr>
            <sz val="9"/>
            <color indexed="81"/>
            <rFont val="Tahoma"/>
            <family val="2"/>
          </rPr>
          <t>Users need to include an estimate of land areas cleared for roads, ditches and mill complex (incl. of POME treatment facilities) in proportion to the total planted area in the concession. Provide data for such estimation for verification. 
Note that land cleared for social amenities (e.g. worker housing, staff recreation, schools, clinics, religious facilities, etc.) are excluded from this.
**In the absence of proper estimates, RSPO recommends the use of 5.5%.</t>
        </r>
      </text>
    </comment>
    <comment ref="F26" authorId="0" shapeId="0" xr:uid="{00000000-0006-0000-0400-000002000000}">
      <text>
        <r>
          <rPr>
            <sz val="9"/>
            <color indexed="81"/>
            <rFont val="Tahoma"/>
            <family val="2"/>
          </rPr>
          <t>= tCO2e/yr (planted area) + (5.5/100 * tCO2e/yr (planted area))</t>
        </r>
      </text>
    </comment>
    <comment ref="F43" authorId="0" shapeId="0" xr:uid="{00000000-0006-0000-0400-000003000000}">
      <text>
        <r>
          <rPr>
            <sz val="9"/>
            <color indexed="81"/>
            <rFont val="Tahoma"/>
            <family val="2"/>
          </rPr>
          <t>= tCO2e/yr (planted area) + (5.5/100 * tCO2e/yr (planted area))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Melissa Chin</author>
  </authors>
  <commentList>
    <comment ref="F7" authorId="0" shapeId="0" xr:uid="{00000000-0006-0000-0600-000001000000}">
      <text>
        <r>
          <rPr>
            <sz val="9"/>
            <color indexed="81"/>
            <rFont val="Tahoma"/>
            <family val="2"/>
          </rPr>
          <t xml:space="preserve">Add the emission factor corresponding to biodiesel blend and type
</t>
        </r>
      </text>
    </comment>
    <comment ref="F8" authorId="0" shapeId="0" xr:uid="{00000000-0006-0000-0600-000002000000}">
      <text>
        <r>
          <rPr>
            <sz val="9"/>
            <color indexed="81"/>
            <rFont val="Tahoma"/>
            <family val="2"/>
          </rPr>
          <t>Add the emission factor corresponding to bioethanol blend and type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CB</author>
  </authors>
  <commentList>
    <comment ref="I13" authorId="0" shapeId="0" xr:uid="{00000000-0006-0000-0800-000001000000}">
      <text>
        <r>
          <rPr>
            <sz val="8"/>
            <color indexed="81"/>
            <rFont val="Tahoma"/>
            <family val="2"/>
          </rPr>
          <t>WARNING: you have selected more than one source for this nutrient!</t>
        </r>
      </text>
    </comment>
    <comment ref="I44" authorId="0" shapeId="0" xr:uid="{00000000-0006-0000-0800-000002000000}">
      <text>
        <r>
          <rPr>
            <sz val="8"/>
            <color indexed="81"/>
            <rFont val="Tahoma"/>
            <family val="2"/>
          </rPr>
          <t>WARNING: you have selected more than one source for this nutrient!</t>
        </r>
      </text>
    </comment>
    <comment ref="I70" authorId="0" shapeId="0" xr:uid="{00000000-0006-0000-0800-000003000000}">
      <text>
        <r>
          <rPr>
            <sz val="8"/>
            <color indexed="81"/>
            <rFont val="Tahoma"/>
            <family val="2"/>
          </rPr>
          <t>WARNING: you have selected more than one source for this nutrient!</t>
        </r>
      </text>
    </comment>
    <comment ref="I96" authorId="0" shapeId="0" xr:uid="{00000000-0006-0000-0800-000004000000}">
      <text>
        <r>
          <rPr>
            <sz val="8"/>
            <color indexed="81"/>
            <rFont val="Tahoma"/>
            <family val="2"/>
          </rPr>
          <t>WARNING: you have selected more than one source for this nutrient!</t>
        </r>
      </text>
    </comment>
    <comment ref="I122" authorId="0" shapeId="0" xr:uid="{00000000-0006-0000-0800-000005000000}">
      <text>
        <r>
          <rPr>
            <sz val="8"/>
            <color indexed="81"/>
            <rFont val="Tahoma"/>
            <family val="2"/>
          </rPr>
          <t>WARNING: you have selected more than one source for this nutrient!</t>
        </r>
      </text>
    </comment>
    <comment ref="I148" authorId="0" shapeId="0" xr:uid="{00000000-0006-0000-0800-000006000000}">
      <text>
        <r>
          <rPr>
            <sz val="8"/>
            <color indexed="81"/>
            <rFont val="Tahoma"/>
            <family val="2"/>
          </rPr>
          <t>WARNING: you have selected more than one source for this nutrient!</t>
        </r>
      </text>
    </comment>
    <comment ref="I174" authorId="0" shapeId="0" xr:uid="{00000000-0006-0000-0800-000007000000}">
      <text>
        <r>
          <rPr>
            <sz val="8"/>
            <color indexed="81"/>
            <rFont val="Tahoma"/>
            <family val="2"/>
          </rPr>
          <t>WARNING: you have selected more than one source for this nutrient!</t>
        </r>
      </text>
    </comment>
    <comment ref="I200" authorId="0" shapeId="0" xr:uid="{00000000-0006-0000-0800-000008000000}">
      <text>
        <r>
          <rPr>
            <sz val="8"/>
            <color indexed="81"/>
            <rFont val="Tahoma"/>
            <family val="2"/>
          </rPr>
          <t>WARNING: you have selected more than one source for this nutrient!</t>
        </r>
      </text>
    </comment>
    <comment ref="I226" authorId="0" shapeId="0" xr:uid="{00000000-0006-0000-0800-000009000000}">
      <text>
        <r>
          <rPr>
            <sz val="8"/>
            <color indexed="81"/>
            <rFont val="Tahoma"/>
            <family val="2"/>
          </rPr>
          <t>WARNING: you have selected more than one source for this nutrient!</t>
        </r>
      </text>
    </comment>
    <comment ref="I252" authorId="0" shapeId="0" xr:uid="{00000000-0006-0000-0800-00000A000000}">
      <text>
        <r>
          <rPr>
            <sz val="8"/>
            <color indexed="81"/>
            <rFont val="Tahoma"/>
            <family val="2"/>
          </rPr>
          <t>WARNING: you have selected more than one source for this nutrient!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lchase</author>
  </authors>
  <commentList>
    <comment ref="B8" authorId="0" shapeId="0" xr:uid="{00000000-0006-0000-0900-000001000000}">
      <text>
        <r>
          <rPr>
            <b/>
            <sz val="8"/>
            <color indexed="81"/>
            <rFont val="Tahoma"/>
            <family val="2"/>
          </rPr>
          <t>Distances for sea freight can be obtained from ref 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LDCChase</author>
    <author>Melissa Chin</author>
  </authors>
  <commentList>
    <comment ref="A14" authorId="0" shapeId="0" xr:uid="{00000000-0006-0000-0C00-000001000000}">
      <text>
        <r>
          <rPr>
            <b/>
            <sz val="9"/>
            <color indexed="81"/>
            <rFont val="Tahoma"/>
            <family val="2"/>
          </rPr>
          <t>Fuel includes petrol and diesel, but as petrol consumption is usually minor diesel emissions are used for both fuel types</t>
        </r>
      </text>
    </comment>
    <comment ref="D14" authorId="0" shapeId="0" xr:uid="{00000000-0006-0000-0C00-000002000000}">
      <text>
        <r>
          <rPr>
            <b/>
            <sz val="9"/>
            <color indexed="81"/>
            <rFont val="Tahoma"/>
            <family val="2"/>
          </rPr>
          <t>Fuel includes petrol and diesel, but as petrol consumption is usually minor diesel emissions are used for both fuel types</t>
        </r>
      </text>
    </comment>
    <comment ref="A15" authorId="0" shapeId="0" xr:uid="{00000000-0006-0000-0C00-000003000000}">
      <text>
        <r>
          <rPr>
            <b/>
            <sz val="9"/>
            <color indexed="81"/>
            <rFont val="Tahoma"/>
            <family val="2"/>
          </rPr>
          <t>Fuel includes petrol and diesel, but as petrol consumption is usually minor diesel emissions are used for both fuel types</t>
        </r>
      </text>
    </comment>
    <comment ref="D15" authorId="0" shapeId="0" xr:uid="{00000000-0006-0000-0C00-000004000000}">
      <text>
        <r>
          <rPr>
            <b/>
            <sz val="9"/>
            <color indexed="81"/>
            <rFont val="Tahoma"/>
            <family val="2"/>
          </rPr>
          <t>Fuel includes petrol and diesel, but as petrol consumption is usually minor diesel emissions are used for both fuel types</t>
        </r>
      </text>
    </comment>
    <comment ref="B40" authorId="0" shapeId="0" xr:uid="{00000000-0006-0000-0C00-000005000000}">
      <text>
        <r>
          <rPr>
            <b/>
            <sz val="9"/>
            <color indexed="81"/>
            <rFont val="Tahoma"/>
            <family val="2"/>
          </rPr>
          <t>WARNING message means that percentages do not add up to 100</t>
        </r>
        <r>
          <rPr>
            <sz val="9"/>
            <color indexed="81"/>
            <rFont val="Tahoma"/>
            <family val="2"/>
          </rPr>
          <t xml:space="preserve">
</t>
        </r>
      </text>
    </comment>
    <comment ref="B79" authorId="1" shapeId="0" xr:uid="{00000000-0006-0000-0C00-000006000000}">
      <text>
        <r>
          <rPr>
            <b/>
            <sz val="9"/>
            <color indexed="81"/>
            <rFont val="Tahoma"/>
            <family val="2"/>
          </rPr>
          <t>WARNING message means that percentages do not add up to 100</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Laurence</author>
    <author xml:space="preserve"> </author>
    <author>Melissa Chin</author>
    <author xml:space="preserve"> lchase</author>
    <author>LDCChase</author>
  </authors>
  <commentList>
    <comment ref="B6" authorId="0" shapeId="0" xr:uid="{00000000-0006-0000-0D00-000001000000}">
      <text>
        <r>
          <rPr>
            <b/>
            <sz val="10"/>
            <color indexed="81"/>
            <rFont val="Tahoma"/>
            <family val="2"/>
          </rPr>
          <t>Ref 2</t>
        </r>
      </text>
    </comment>
    <comment ref="B7" authorId="1" shapeId="0" xr:uid="{00000000-0006-0000-0D00-000002000000}">
      <text>
        <r>
          <rPr>
            <b/>
            <sz val="10"/>
            <color indexed="81"/>
            <rFont val="Tahoma"/>
            <family val="2"/>
          </rPr>
          <t xml:space="preserve"> Ref  2
</t>
        </r>
      </text>
    </comment>
    <comment ref="B8" authorId="2" shapeId="0" xr:uid="{00000000-0006-0000-0D00-000003000000}">
      <text>
        <r>
          <rPr>
            <b/>
            <sz val="9"/>
            <color indexed="81"/>
            <rFont val="Tahoma"/>
            <family val="2"/>
          </rPr>
          <t>Ref 2</t>
        </r>
      </text>
    </comment>
    <comment ref="B9" authorId="1" shapeId="0" xr:uid="{00000000-0006-0000-0D00-000004000000}">
      <text>
        <r>
          <rPr>
            <b/>
            <sz val="10"/>
            <color indexed="81"/>
            <rFont val="Tahoma"/>
            <family val="2"/>
          </rPr>
          <t>Ref 3</t>
        </r>
      </text>
    </comment>
    <comment ref="B10" authorId="1" shapeId="0" xr:uid="{00000000-0006-0000-0D00-000005000000}">
      <text>
        <r>
          <rPr>
            <b/>
            <sz val="10"/>
            <color indexed="81"/>
            <rFont val="Tahoma"/>
            <family val="2"/>
          </rPr>
          <t>Ref 4</t>
        </r>
      </text>
    </comment>
    <comment ref="B11" authorId="1" shapeId="0" xr:uid="{00000000-0006-0000-0D00-000006000000}">
      <text>
        <r>
          <rPr>
            <b/>
            <sz val="10"/>
            <color indexed="81"/>
            <rFont val="Tahoma"/>
            <family val="2"/>
          </rPr>
          <t>Ref 4</t>
        </r>
      </text>
    </comment>
    <comment ref="B12" authorId="1" shapeId="0" xr:uid="{00000000-0006-0000-0D00-000007000000}">
      <text>
        <r>
          <rPr>
            <b/>
            <sz val="10"/>
            <color indexed="81"/>
            <rFont val="Tahoma"/>
            <family val="2"/>
          </rPr>
          <t>Ref 4</t>
        </r>
      </text>
    </comment>
    <comment ref="B13" authorId="3" shapeId="0" xr:uid="{00000000-0006-0000-0D00-000008000000}">
      <text>
        <r>
          <rPr>
            <b/>
            <sz val="8"/>
            <color indexed="81"/>
            <rFont val="Tahoma"/>
            <family val="2"/>
          </rPr>
          <t>Ref 4</t>
        </r>
      </text>
    </comment>
    <comment ref="A14" authorId="1" shapeId="0" xr:uid="{00000000-0006-0000-0D00-000009000000}">
      <text>
        <r>
          <rPr>
            <b/>
            <sz val="10"/>
            <color indexed="81"/>
            <rFont val="Tahoma"/>
            <family val="2"/>
          </rPr>
          <t>Assumes 2l diesel/km at 20t/trip (Ref 1)</t>
        </r>
      </text>
    </comment>
    <comment ref="B19" authorId="1" shapeId="0" xr:uid="{00000000-0006-0000-0D00-00000A000000}">
      <text>
        <r>
          <rPr>
            <b/>
            <sz val="8"/>
            <color indexed="81"/>
            <rFont val="Tahoma"/>
            <family val="2"/>
          </rPr>
          <t xml:space="preserve"> </t>
        </r>
        <r>
          <rPr>
            <b/>
            <sz val="10"/>
            <color indexed="81"/>
            <rFont val="Tahoma"/>
            <family val="2"/>
          </rPr>
          <t>Ref 5</t>
        </r>
      </text>
    </comment>
    <comment ref="G19" authorId="4" shapeId="0" xr:uid="{00000000-0006-0000-0D00-00000B000000}">
      <text>
        <r>
          <rPr>
            <b/>
            <sz val="8"/>
            <color indexed="81"/>
            <rFont val="Calibri"/>
            <family val="2"/>
            <scheme val="minor"/>
          </rPr>
          <t>Mean of 62 values with CV=26%, taken from LUC Database revised 18-9-2012, I. E. Henson pers comm
Natural forest with dense canopy; no signs of logging roads</t>
        </r>
      </text>
    </comment>
    <comment ref="B20" authorId="1" shapeId="0" xr:uid="{00000000-0006-0000-0D00-00000C000000}">
      <text>
        <r>
          <rPr>
            <b/>
            <sz val="8"/>
            <color indexed="81"/>
            <rFont val="Tahoma"/>
            <family val="2"/>
          </rPr>
          <t>Ref 5</t>
        </r>
      </text>
    </comment>
    <comment ref="G20" authorId="1" shapeId="0" xr:uid="{00000000-0006-0000-0D00-00000D000000}">
      <text>
        <r>
          <rPr>
            <b/>
            <sz val="8"/>
            <color indexed="81"/>
            <rFont val="Tahoma"/>
            <family val="2"/>
          </rPr>
          <t>Ref 25, Natural forest area with logging roads and forest clearings.</t>
        </r>
      </text>
    </comment>
    <comment ref="B21" authorId="1" shapeId="0" xr:uid="{00000000-0006-0000-0D00-00000E000000}">
      <text>
        <r>
          <rPr>
            <b/>
            <sz val="10"/>
            <color indexed="81"/>
            <rFont val="Tahoma"/>
            <family val="2"/>
          </rPr>
          <t>Ref 1</t>
        </r>
      </text>
    </comment>
    <comment ref="G21" authorId="1" shapeId="0" xr:uid="{00000000-0006-0000-0D00-00000F000000}">
      <text>
        <r>
          <rPr>
            <b/>
            <sz val="8"/>
            <color indexed="81"/>
            <rFont val="Tahoma"/>
            <family val="2"/>
          </rPr>
          <t>Ref 17
Presence of small trees and shrubs</t>
        </r>
      </text>
    </comment>
    <comment ref="B22" authorId="1" shapeId="0" xr:uid="{00000000-0006-0000-0D00-000010000000}">
      <text>
        <r>
          <rPr>
            <b/>
            <sz val="10"/>
            <color indexed="81"/>
            <rFont val="Tahoma"/>
            <family val="2"/>
          </rPr>
          <t>Ref 6</t>
        </r>
      </text>
    </comment>
    <comment ref="G22" authorId="1" shapeId="0" xr:uid="{00000000-0006-0000-0D00-000011000000}">
      <text>
        <r>
          <rPr>
            <b/>
            <sz val="8"/>
            <color indexed="81"/>
            <rFont val="Tahoma"/>
            <family val="2"/>
          </rPr>
          <t>Ref 9, Dominated by grasses</t>
        </r>
      </text>
    </comment>
    <comment ref="B23" authorId="1" shapeId="0" xr:uid="{00000000-0006-0000-0D00-000012000000}">
      <text>
        <r>
          <rPr>
            <b/>
            <sz val="8"/>
            <color indexed="81"/>
            <rFont val="Tahoma"/>
            <family val="2"/>
          </rPr>
          <t xml:space="preserve"> </t>
        </r>
        <r>
          <rPr>
            <b/>
            <sz val="10"/>
            <color indexed="81"/>
            <rFont val="Tahoma"/>
            <family val="2"/>
          </rPr>
          <t>Ref 12</t>
        </r>
      </text>
    </comment>
    <comment ref="G23" authorId="3" shapeId="0" xr:uid="{00000000-0006-0000-0D00-000013000000}">
      <text>
        <r>
          <rPr>
            <b/>
            <sz val="8"/>
            <color indexed="81"/>
            <rFont val="Tahoma"/>
            <family val="2"/>
          </rPr>
          <t>Ref 17, 81, 27, 28 &amp; 29
This would include crops such as rubber, coconut, cocoa under shade, acacia mangium plantations and agroforestry systems.</t>
        </r>
      </text>
    </comment>
    <comment ref="B24" authorId="1" shapeId="0" xr:uid="{00000000-0006-0000-0D00-000014000000}">
      <text>
        <r>
          <rPr>
            <b/>
            <sz val="10"/>
            <color indexed="81"/>
            <rFont val="Tahoma"/>
            <family val="2"/>
          </rPr>
          <t>Ref 12</t>
        </r>
      </text>
    </comment>
    <comment ref="G24" authorId="3" shapeId="0" xr:uid="{00000000-0006-0000-0D00-000015000000}">
      <text>
        <r>
          <rPr>
            <b/>
            <sz val="8"/>
            <color indexed="81"/>
            <rFont val="Tahoma"/>
            <family val="2"/>
          </rPr>
          <t>Ref 21 Average of annual (5.0) and perennial (12.0) crops in PNG
Open area, usually intensively managed for annual row crops such as corn, pineapple, cassava, banana, and rice.</t>
        </r>
      </text>
    </comment>
    <comment ref="B25" authorId="1" shapeId="0" xr:uid="{00000000-0006-0000-0D00-000016000000}">
      <text>
        <r>
          <rPr>
            <b/>
            <sz val="10"/>
            <color indexed="81"/>
            <rFont val="Tahoma"/>
            <family val="2"/>
          </rPr>
          <t>Ref 13</t>
        </r>
      </text>
    </comment>
    <comment ref="B26" authorId="1" shapeId="0" xr:uid="{00000000-0006-0000-0D00-000017000000}">
      <text>
        <r>
          <rPr>
            <b/>
            <sz val="10"/>
            <color indexed="81"/>
            <rFont val="Tahoma"/>
            <family val="2"/>
          </rPr>
          <t>Ref 12</t>
        </r>
      </text>
    </comment>
    <comment ref="B27" authorId="1" shapeId="0" xr:uid="{00000000-0006-0000-0D00-000018000000}">
      <text>
        <r>
          <rPr>
            <b/>
            <sz val="10"/>
            <color indexed="81"/>
            <rFont val="Tahoma"/>
            <family val="2"/>
          </rPr>
          <t>Ref 12</t>
        </r>
      </text>
    </comment>
    <comment ref="B28" authorId="1" shapeId="0" xr:uid="{00000000-0006-0000-0D00-000019000000}">
      <text>
        <r>
          <rPr>
            <b/>
            <sz val="10"/>
            <color indexed="81"/>
            <rFont val="Tahoma"/>
            <family val="2"/>
          </rPr>
          <t xml:space="preserve">Adapted from Ref 2 (assumed to be the same as EU-mix natural gas)
</t>
        </r>
      </text>
    </comment>
    <comment ref="B29" authorId="3" shapeId="0" xr:uid="{00000000-0006-0000-0D00-00001A000000}">
      <text>
        <r>
          <rPr>
            <b/>
            <sz val="8"/>
            <color indexed="81"/>
            <rFont val="Tahoma"/>
            <family val="2"/>
          </rPr>
          <t>Ref 20</t>
        </r>
      </text>
    </comment>
    <comment ref="B30" authorId="1" shapeId="0" xr:uid="{00000000-0006-0000-0D00-00001B000000}">
      <text>
        <r>
          <rPr>
            <b/>
            <sz val="10"/>
            <color indexed="81"/>
            <rFont val="Tahoma"/>
            <family val="2"/>
          </rPr>
          <t>Ref 14. Average for Indonesia and Malaysia</t>
        </r>
      </text>
    </comment>
    <comment ref="B31" authorId="4" shapeId="0" xr:uid="{00000000-0006-0000-0D00-00001C000000}">
      <text>
        <r>
          <rPr>
            <b/>
            <sz val="9"/>
            <color indexed="81"/>
            <rFont val="Tahoma"/>
            <family val="2"/>
          </rPr>
          <t xml:space="preserve">Ref 30
</t>
        </r>
      </text>
    </comment>
    <comment ref="B32" authorId="4" shapeId="0" xr:uid="{00000000-0006-0000-0D00-00001D000000}">
      <text>
        <r>
          <rPr>
            <b/>
            <sz val="9"/>
            <color indexed="81"/>
            <rFont val="Tahoma"/>
            <family val="2"/>
          </rPr>
          <t>Ref 30</t>
        </r>
      </text>
    </comment>
    <comment ref="B33" authorId="4" shapeId="0" xr:uid="{00000000-0006-0000-0D00-00001E000000}">
      <text>
        <r>
          <rPr>
            <b/>
            <sz val="9"/>
            <color indexed="81"/>
            <rFont val="Tahoma"/>
            <family val="2"/>
          </rPr>
          <t>Ref 30</t>
        </r>
      </text>
    </comment>
    <comment ref="B34" authorId="4" shapeId="0" xr:uid="{00000000-0006-0000-0D00-00001F000000}">
      <text>
        <r>
          <rPr>
            <b/>
            <sz val="9"/>
            <color indexed="81"/>
            <rFont val="Tahoma"/>
            <family val="2"/>
          </rPr>
          <t>Ref 1</t>
        </r>
      </text>
    </comment>
    <comment ref="B35" authorId="4" shapeId="0" xr:uid="{00000000-0006-0000-0D00-000020000000}">
      <text>
        <r>
          <rPr>
            <b/>
            <sz val="9"/>
            <color indexed="81"/>
            <rFont val="Tahoma"/>
            <family val="2"/>
          </rPr>
          <t>Ref 31</t>
        </r>
      </text>
    </comment>
    <comment ref="B36" authorId="4" shapeId="0" xr:uid="{00000000-0006-0000-0D00-000021000000}">
      <text>
        <r>
          <rPr>
            <b/>
            <sz val="9"/>
            <color indexed="81"/>
            <rFont val="Tahoma"/>
            <family val="2"/>
          </rPr>
          <t>Ref 31</t>
        </r>
      </text>
    </comment>
    <comment ref="B37" authorId="4" shapeId="0" xr:uid="{00000000-0006-0000-0D00-000022000000}">
      <text>
        <r>
          <rPr>
            <b/>
            <sz val="9"/>
            <color indexed="81"/>
            <rFont val="Tahoma"/>
            <family val="2"/>
          </rPr>
          <t>Ref 31</t>
        </r>
      </text>
    </comment>
    <comment ref="F40" authorId="3" shapeId="0" xr:uid="{00000000-0006-0000-0D00-000023000000}">
      <text>
        <r>
          <rPr>
            <b/>
            <sz val="8"/>
            <color indexed="81"/>
            <rFont val="Tahoma"/>
            <family val="2"/>
          </rPr>
          <t>Adapted from Ref 8 (assumed to be same as SOA)</t>
        </r>
      </text>
    </comment>
    <comment ref="G40" authorId="1" shapeId="0" xr:uid="{00000000-0006-0000-0D00-000024000000}">
      <text>
        <r>
          <rPr>
            <b/>
            <sz val="10"/>
            <color indexed="81"/>
            <rFont val="Tahoma"/>
            <family val="2"/>
          </rPr>
          <t>Ref 7</t>
        </r>
      </text>
    </comment>
    <comment ref="F41" authorId="3" shapeId="0" xr:uid="{00000000-0006-0000-0D00-000025000000}">
      <text>
        <r>
          <rPr>
            <b/>
            <sz val="8"/>
            <color indexed="81"/>
            <rFont val="Tahoma"/>
            <family val="2"/>
          </rPr>
          <t>Adapted from Ref 8</t>
        </r>
        <r>
          <rPr>
            <sz val="8"/>
            <color indexed="81"/>
            <rFont val="Tahoma"/>
            <family val="2"/>
          </rPr>
          <t xml:space="preserve">
</t>
        </r>
      </text>
    </comment>
    <comment ref="G41" authorId="1" shapeId="0" xr:uid="{00000000-0006-0000-0D00-000026000000}">
      <text>
        <r>
          <rPr>
            <b/>
            <sz val="10"/>
            <color indexed="81"/>
            <rFont val="Tahoma"/>
            <family val="2"/>
          </rPr>
          <t>Ref 7</t>
        </r>
        <r>
          <rPr>
            <b/>
            <sz val="8"/>
            <color indexed="81"/>
            <rFont val="Tahoma"/>
            <family val="2"/>
          </rPr>
          <t xml:space="preserve">
</t>
        </r>
      </text>
    </comment>
    <comment ref="F42" authorId="3" shapeId="0" xr:uid="{00000000-0006-0000-0D00-000027000000}">
      <text>
        <r>
          <rPr>
            <b/>
            <sz val="8"/>
            <color indexed="81"/>
            <rFont val="Tahoma"/>
            <family val="2"/>
          </rPr>
          <t>Adapted from Ref 8 (assumed to be same as SOA)</t>
        </r>
        <r>
          <rPr>
            <sz val="8"/>
            <color indexed="81"/>
            <rFont val="Tahoma"/>
            <family val="2"/>
          </rPr>
          <t xml:space="preserve">
</t>
        </r>
      </text>
    </comment>
    <comment ref="G42" authorId="1" shapeId="0" xr:uid="{00000000-0006-0000-0D00-000028000000}">
      <text>
        <r>
          <rPr>
            <b/>
            <sz val="10"/>
            <color indexed="81"/>
            <rFont val="Tahoma"/>
            <family val="2"/>
          </rPr>
          <t>Ref 7</t>
        </r>
      </text>
    </comment>
    <comment ref="F43" authorId="3" shapeId="0" xr:uid="{00000000-0006-0000-0D00-000029000000}">
      <text>
        <r>
          <rPr>
            <b/>
            <sz val="11"/>
            <color indexed="81"/>
            <rFont val="Calibri"/>
            <family val="2"/>
            <scheme val="minor"/>
          </rPr>
          <t>Adapted from Ref 8</t>
        </r>
        <r>
          <rPr>
            <sz val="8"/>
            <color indexed="81"/>
            <rFont val="Tahoma"/>
            <family val="2"/>
          </rPr>
          <t xml:space="preserve">
</t>
        </r>
      </text>
    </comment>
    <comment ref="G43" authorId="1" shapeId="0" xr:uid="{00000000-0006-0000-0D00-00002A000000}">
      <text>
        <r>
          <rPr>
            <b/>
            <sz val="10"/>
            <color indexed="81"/>
            <rFont val="Tahoma"/>
            <family val="2"/>
          </rPr>
          <t>Ref 7</t>
        </r>
      </text>
    </comment>
    <comment ref="F44" authorId="4" shapeId="0" xr:uid="{00000000-0006-0000-0D00-00002B000000}">
      <text>
        <r>
          <rPr>
            <b/>
            <sz val="9"/>
            <color indexed="81"/>
            <rFont val="Tahoma"/>
            <family val="2"/>
          </rPr>
          <t>Adapted from Ref 8 (assumed to be same as SOA)</t>
        </r>
      </text>
    </comment>
    <comment ref="G44" authorId="4" shapeId="0" xr:uid="{00000000-0006-0000-0D00-00002C000000}">
      <text>
        <r>
          <rPr>
            <b/>
            <sz val="9"/>
            <color indexed="81"/>
            <rFont val="Tahoma"/>
            <family val="2"/>
          </rPr>
          <t>Ref 22</t>
        </r>
      </text>
    </comment>
    <comment ref="G45" authorId="1" shapeId="0" xr:uid="{00000000-0006-0000-0D00-00002D000000}">
      <text>
        <r>
          <rPr>
            <b/>
            <sz val="10"/>
            <color indexed="81"/>
            <rFont val="Tahoma"/>
            <family val="2"/>
          </rPr>
          <t>Ref 7 (assumed to be the same as MOP)</t>
        </r>
      </text>
    </comment>
    <comment ref="G46" authorId="1" shapeId="0" xr:uid="{00000000-0006-0000-0D00-00002E000000}">
      <text>
        <r>
          <rPr>
            <b/>
            <sz val="10"/>
            <color indexed="81"/>
            <rFont val="Tahoma"/>
            <family val="2"/>
          </rPr>
          <t>Ref 7</t>
        </r>
      </text>
    </comment>
    <comment ref="G47" authorId="1" shapeId="0" xr:uid="{00000000-0006-0000-0D00-00002F000000}">
      <text>
        <r>
          <rPr>
            <b/>
            <sz val="10"/>
            <color indexed="81"/>
            <rFont val="Tahoma"/>
            <family val="2"/>
          </rPr>
          <t>Ref 7</t>
        </r>
      </text>
    </comment>
    <comment ref="G48" authorId="3" shapeId="0" xr:uid="{00000000-0006-0000-0D00-000030000000}">
      <text>
        <r>
          <rPr>
            <b/>
            <sz val="10"/>
            <color indexed="81"/>
            <rFont val="Tahoma"/>
            <family val="2"/>
          </rPr>
          <t>Ref 7</t>
        </r>
      </text>
    </comment>
    <comment ref="G49" authorId="3" shapeId="0" xr:uid="{00000000-0006-0000-0D00-000031000000}">
      <text>
        <r>
          <rPr>
            <b/>
            <sz val="10"/>
            <color indexed="81"/>
            <rFont val="Tahoma"/>
            <family val="2"/>
          </rPr>
          <t>Ref 1 (adapted from ref 7)</t>
        </r>
      </text>
    </comment>
    <comment ref="B60" authorId="1" shapeId="0" xr:uid="{00000000-0006-0000-0D00-000032000000}">
      <text>
        <r>
          <rPr>
            <b/>
            <sz val="10"/>
            <color indexed="81"/>
            <rFont val="Tahoma"/>
            <family val="2"/>
          </rPr>
          <t>Ref 6</t>
        </r>
      </text>
    </comment>
    <comment ref="F60" authorId="3" shapeId="0" xr:uid="{00000000-0006-0000-0D00-000033000000}">
      <text>
        <r>
          <rPr>
            <b/>
            <sz val="8"/>
            <color indexed="81"/>
            <rFont val="Tahoma"/>
            <family val="2"/>
          </rPr>
          <t>Ref 4, although likely to be too high as default includes organic fertilisers and animal waste</t>
        </r>
      </text>
    </comment>
    <comment ref="B61" authorId="1" shapeId="0" xr:uid="{00000000-0006-0000-0D00-000034000000}">
      <text>
        <r>
          <rPr>
            <b/>
            <sz val="10"/>
            <color indexed="81"/>
            <rFont val="Tahoma"/>
            <family val="2"/>
          </rPr>
          <t>Ref 6</t>
        </r>
      </text>
    </comment>
    <comment ref="F61" authorId="3" shapeId="0" xr:uid="{00000000-0006-0000-0D00-000035000000}">
      <text>
        <r>
          <rPr>
            <b/>
            <sz val="8"/>
            <color indexed="81"/>
            <rFont val="Tahoma"/>
            <family val="2"/>
          </rPr>
          <t>Ref 4, although likely to be too high as default includes organic fertilisers and animal waste</t>
        </r>
      </text>
    </comment>
    <comment ref="B62" authorId="1" shapeId="0" xr:uid="{00000000-0006-0000-0D00-000036000000}">
      <text>
        <r>
          <rPr>
            <b/>
            <sz val="10"/>
            <color indexed="81"/>
            <rFont val="Tahoma"/>
            <family val="2"/>
          </rPr>
          <t>Ref 4</t>
        </r>
      </text>
    </comment>
  </commentList>
</comments>
</file>

<file path=xl/sharedStrings.xml><?xml version="1.0" encoding="utf-8"?>
<sst xmlns="http://schemas.openxmlformats.org/spreadsheetml/2006/main" count="1143" uniqueCount="471">
  <si>
    <t>Grassland</t>
  </si>
  <si>
    <t>Crop rotation length yrs</t>
  </si>
  <si>
    <t>Fertilisers</t>
  </si>
  <si>
    <t>Road transport</t>
  </si>
  <si>
    <t>Material</t>
  </si>
  <si>
    <t>Total</t>
  </si>
  <si>
    <t>Source to local port km</t>
  </si>
  <si>
    <t>SOA</t>
  </si>
  <si>
    <t>Urea</t>
  </si>
  <si>
    <t>GRP</t>
  </si>
  <si>
    <t>MOP</t>
  </si>
  <si>
    <t>AN</t>
  </si>
  <si>
    <t>DAP</t>
  </si>
  <si>
    <t>EFB</t>
  </si>
  <si>
    <t>N2O</t>
  </si>
  <si>
    <t>POME</t>
  </si>
  <si>
    <t>Harvesting and collection</t>
  </si>
  <si>
    <t>Crop sequestration</t>
  </si>
  <si>
    <t>Mill</t>
  </si>
  <si>
    <t>Peat soils</t>
  </si>
  <si>
    <t>Previous land use</t>
  </si>
  <si>
    <t>%N</t>
  </si>
  <si>
    <t>t/yr</t>
  </si>
  <si>
    <t>tPOME/tFFB</t>
  </si>
  <si>
    <t>kgCH4/tPOME</t>
  </si>
  <si>
    <t>tEFB/tFFB</t>
  </si>
  <si>
    <t>Default data</t>
  </si>
  <si>
    <t>References</t>
  </si>
  <si>
    <t>Chase L.D.C and Henson I.E. (2010) A detailed greenhouse gas budget for palm oil production. International Journal for Agricultural Sustainability 8 (3) 199-214.</t>
  </si>
  <si>
    <t>IPCC (2007). Fourth Assessment Report. Climate Change 2007 - Synthesis Report. WMO/UNEP. http://www.ipcc.ch/ipccreports/ar4-syr.htm.</t>
  </si>
  <si>
    <t>IPCC (2006). Guidelines for National Greenhouse Gas Inventories. Vol 4 Agriculture, Forestry and Other Land Use. WMO/UNEP. http://www.ipcc-nggip.iges.or.jp/public/2006gl/index.html.</t>
  </si>
  <si>
    <t>Yacob S., Mohd. Hassan A., Shirai Y., Wakisaka M. and Subash S. (2006). Baseline study of methane emission from anaerobic ponds of palm oil mill effluent treatment. Science of the Total Environment, 366, 187-196</t>
  </si>
  <si>
    <t>Gurmit S. (1995). Management and utilisation of oil palm by-products. The Planter, 71, 361-386.</t>
  </si>
  <si>
    <t>Jensson T.K. and Kongshaug G. (2003). Energy consumption and greenhouse gas emissions in fertiliser production. Proceedings No 509, International Fertiliser Society, York, UK 28pp.</t>
  </si>
  <si>
    <t>Henson I.E. (2009). Modelling carbon sequestration and greenhouse gas emissions associated with oil palm cultivation and land-use change in Malaysia. A re-evaluation and a computer model. MPOB Technology, 31, 116 pp.</t>
  </si>
  <si>
    <t>Mineral soils</t>
  </si>
  <si>
    <t>Soil organic carbon levels in mineral soils are assumed to remain constant over the crop cycle</t>
  </si>
  <si>
    <t>ha peat</t>
  </si>
  <si>
    <t>Abbreviations</t>
  </si>
  <si>
    <t>Oil extraction rate</t>
  </si>
  <si>
    <t>ker</t>
  </si>
  <si>
    <t>Kernel extraction rate</t>
  </si>
  <si>
    <t>CPO</t>
  </si>
  <si>
    <t>Crude palm oil</t>
  </si>
  <si>
    <t>PK</t>
  </si>
  <si>
    <t>Palm kernel</t>
  </si>
  <si>
    <t>GHG</t>
  </si>
  <si>
    <t>Greenhouse gases</t>
  </si>
  <si>
    <t>GWP</t>
  </si>
  <si>
    <t>Global warming potential</t>
  </si>
  <si>
    <t>Palm oil mill effluent</t>
  </si>
  <si>
    <t>FFB</t>
  </si>
  <si>
    <t>Fresh fruit bunches</t>
  </si>
  <si>
    <t>Empty fruit bunches</t>
  </si>
  <si>
    <t>Ammonium nitrate</t>
  </si>
  <si>
    <t>Sulphate of ammonia</t>
  </si>
  <si>
    <t>Diammonium phosphate</t>
  </si>
  <si>
    <t>Kieserite</t>
  </si>
  <si>
    <t>Muriate of potash</t>
  </si>
  <si>
    <t>Ground rock phosphate</t>
  </si>
  <si>
    <t>Gas motor efficiency %</t>
  </si>
  <si>
    <t>Flaring of methane</t>
  </si>
  <si>
    <t>Conversion of methane to electricity</t>
  </si>
  <si>
    <t>Outgrowers</t>
  </si>
  <si>
    <t>Schmidt J.H. (2007) Life cycle assessment of rapeseed oil and palm oil Part 3 275 pp. PhD Thesis. Denmark: Aalborg University.</t>
  </si>
  <si>
    <t>Environment Agency (2002) Guidance on Landfill Gas Flaring. Bristol: Environment Agency.</t>
  </si>
  <si>
    <t>Total CH4 lost to atmosphere %</t>
  </si>
  <si>
    <t>Land clearing</t>
  </si>
  <si>
    <t>Calendar year</t>
  </si>
  <si>
    <t>RSPO</t>
  </si>
  <si>
    <t>Round Table on Sustainable Palm Oil</t>
  </si>
  <si>
    <t>H&amp;C</t>
  </si>
  <si>
    <t>RFA (2008) Carbon and Sustainability Reporting Within the Renewable Transport Fuel Obligation. Technical Guidance Part 2 Carbon Reporting – Default Values and Fuel Chains. London: Renewable Fuels Agency. http://www.renewablefuelsagency.org/_db/_documents/RFA_C&amp;S_Technical_Guidance_Part_2_v1_200809194658.pdf</t>
  </si>
  <si>
    <t>Mill POME t</t>
  </si>
  <si>
    <r>
      <t>Material kgCO</t>
    </r>
    <r>
      <rPr>
        <vertAlign val="subscript"/>
        <sz val="11"/>
        <color indexed="8"/>
        <rFont val="Calibri"/>
        <family val="2"/>
      </rPr>
      <t>2</t>
    </r>
    <r>
      <rPr>
        <sz val="11"/>
        <color theme="1"/>
        <rFont val="Calibri"/>
        <family val="2"/>
        <scheme val="minor"/>
      </rPr>
      <t>e/t</t>
    </r>
  </si>
  <si>
    <r>
      <t>Direct emissions kgN</t>
    </r>
    <r>
      <rPr>
        <vertAlign val="subscript"/>
        <sz val="11"/>
        <color indexed="8"/>
        <rFont val="Calibri"/>
        <family val="2"/>
      </rPr>
      <t>2</t>
    </r>
    <r>
      <rPr>
        <sz val="11"/>
        <color theme="1"/>
        <rFont val="Calibri"/>
        <family val="2"/>
        <scheme val="minor"/>
      </rPr>
      <t>O/t fertiliser</t>
    </r>
  </si>
  <si>
    <r>
      <t>Indirect emissions kgN</t>
    </r>
    <r>
      <rPr>
        <vertAlign val="subscript"/>
        <sz val="11"/>
        <color indexed="8"/>
        <rFont val="Calibri"/>
        <family val="2"/>
      </rPr>
      <t>2</t>
    </r>
    <r>
      <rPr>
        <sz val="11"/>
        <color theme="1"/>
        <rFont val="Calibri"/>
        <family val="2"/>
        <scheme val="minor"/>
      </rPr>
      <t>O/t fertiliser</t>
    </r>
  </si>
  <si>
    <r>
      <t>Total emissions kgN</t>
    </r>
    <r>
      <rPr>
        <vertAlign val="subscript"/>
        <sz val="11"/>
        <color indexed="8"/>
        <rFont val="Calibri"/>
        <family val="2"/>
      </rPr>
      <t>2</t>
    </r>
    <r>
      <rPr>
        <sz val="11"/>
        <color theme="1"/>
        <rFont val="Calibri"/>
        <family val="2"/>
        <scheme val="minor"/>
      </rPr>
      <t>O/t fertiliser</t>
    </r>
  </si>
  <si>
    <t>TSP</t>
  </si>
  <si>
    <t>GML</t>
  </si>
  <si>
    <r>
      <t>GWP of CH</t>
    </r>
    <r>
      <rPr>
        <vertAlign val="subscript"/>
        <sz val="11"/>
        <color indexed="8"/>
        <rFont val="Calibri"/>
        <family val="2"/>
      </rPr>
      <t>4</t>
    </r>
    <r>
      <rPr>
        <sz val="11"/>
        <color indexed="8"/>
        <rFont val="Calibri"/>
        <family val="2"/>
      </rPr>
      <t xml:space="preserve"> kgCO</t>
    </r>
    <r>
      <rPr>
        <vertAlign val="subscript"/>
        <sz val="11"/>
        <color indexed="8"/>
        <rFont val="Calibri"/>
        <family val="2"/>
      </rPr>
      <t>2</t>
    </r>
    <r>
      <rPr>
        <sz val="11"/>
        <color indexed="8"/>
        <rFont val="Calibri"/>
        <family val="2"/>
      </rPr>
      <t>e/kg CH</t>
    </r>
    <r>
      <rPr>
        <vertAlign val="subscript"/>
        <sz val="11"/>
        <color indexed="8"/>
        <rFont val="Calibri"/>
        <family val="2"/>
      </rPr>
      <t>4</t>
    </r>
  </si>
  <si>
    <r>
      <t>CH</t>
    </r>
    <r>
      <rPr>
        <vertAlign val="subscript"/>
        <sz val="11"/>
        <color indexed="8"/>
        <rFont val="Calibri"/>
        <family val="2"/>
      </rPr>
      <t xml:space="preserve">4 </t>
    </r>
    <r>
      <rPr>
        <sz val="11"/>
        <color indexed="8"/>
        <rFont val="Calibri"/>
        <family val="2"/>
      </rPr>
      <t>t/yr (total)</t>
    </r>
  </si>
  <si>
    <r>
      <t>CH</t>
    </r>
    <r>
      <rPr>
        <vertAlign val="subscript"/>
        <sz val="11"/>
        <rFont val="Calibri"/>
        <family val="2"/>
      </rPr>
      <t>4</t>
    </r>
    <r>
      <rPr>
        <sz val="11"/>
        <rFont val="Calibri"/>
        <family val="2"/>
      </rPr>
      <t xml:space="preserve"> lost from digestion %</t>
    </r>
  </si>
  <si>
    <r>
      <t>CH</t>
    </r>
    <r>
      <rPr>
        <vertAlign val="subscript"/>
        <sz val="11"/>
        <rFont val="Calibri"/>
        <family val="2"/>
      </rPr>
      <t>4</t>
    </r>
    <r>
      <rPr>
        <sz val="11"/>
        <rFont val="Calibri"/>
        <family val="2"/>
      </rPr>
      <t xml:space="preserve"> from digestion diverted to flare %</t>
    </r>
  </si>
  <si>
    <r>
      <t>CH</t>
    </r>
    <r>
      <rPr>
        <vertAlign val="subscript"/>
        <sz val="11"/>
        <rFont val="Calibri"/>
        <family val="2"/>
      </rPr>
      <t>4</t>
    </r>
    <r>
      <rPr>
        <sz val="11"/>
        <rFont val="Calibri"/>
        <family val="2"/>
      </rPr>
      <t xml:space="preserve"> lost in flare %</t>
    </r>
  </si>
  <si>
    <r>
      <t>CH</t>
    </r>
    <r>
      <rPr>
        <vertAlign val="subscript"/>
        <sz val="11"/>
        <rFont val="Calibri"/>
        <family val="2"/>
      </rPr>
      <t>4</t>
    </r>
    <r>
      <rPr>
        <sz val="11"/>
        <rFont val="Calibri"/>
        <family val="2"/>
      </rPr>
      <t xml:space="preserve"> diverted to energy %</t>
    </r>
  </si>
  <si>
    <r>
      <t>CH</t>
    </r>
    <r>
      <rPr>
        <vertAlign val="subscript"/>
        <sz val="11"/>
        <rFont val="Calibri"/>
        <family val="2"/>
      </rPr>
      <t xml:space="preserve">4 </t>
    </r>
    <r>
      <rPr>
        <sz val="11"/>
        <rFont val="Calibri"/>
        <family val="2"/>
      </rPr>
      <t>lost in gas motor %</t>
    </r>
  </si>
  <si>
    <r>
      <t>CH</t>
    </r>
    <r>
      <rPr>
        <vertAlign val="subscript"/>
        <sz val="11"/>
        <rFont val="Calibri"/>
        <family val="2"/>
      </rPr>
      <t xml:space="preserve">4 </t>
    </r>
    <r>
      <rPr>
        <sz val="11"/>
        <rFont val="Calibri"/>
        <family val="2"/>
      </rPr>
      <t>converted to electricity %</t>
    </r>
  </si>
  <si>
    <r>
      <t>Lower Heating Value LHV MJ/kg CH</t>
    </r>
    <r>
      <rPr>
        <vertAlign val="subscript"/>
        <sz val="11"/>
        <rFont val="Calibri"/>
        <family val="2"/>
      </rPr>
      <t>4</t>
    </r>
  </si>
  <si>
    <r>
      <t>Electricity emission co-efficient kg CO</t>
    </r>
    <r>
      <rPr>
        <vertAlign val="subscript"/>
        <sz val="11"/>
        <rFont val="Calibri"/>
        <family val="2"/>
      </rPr>
      <t>2</t>
    </r>
    <r>
      <rPr>
        <sz val="11"/>
        <rFont val="Calibri"/>
        <family val="2"/>
      </rPr>
      <t>e/MJ</t>
    </r>
  </si>
  <si>
    <r>
      <t>CH</t>
    </r>
    <r>
      <rPr>
        <vertAlign val="subscript"/>
        <sz val="11"/>
        <rFont val="Calibri"/>
        <family val="2"/>
      </rPr>
      <t xml:space="preserve">4 </t>
    </r>
    <r>
      <rPr>
        <sz val="11"/>
        <rFont val="Calibri"/>
        <family val="2"/>
      </rPr>
      <t>lost to atmosphere %</t>
    </r>
  </si>
  <si>
    <r>
      <t>Fertilisers and N</t>
    </r>
    <r>
      <rPr>
        <b/>
        <vertAlign val="subscript"/>
        <sz val="11"/>
        <rFont val="Calibri"/>
        <family val="2"/>
      </rPr>
      <t>2</t>
    </r>
    <r>
      <rPr>
        <b/>
        <sz val="11"/>
        <rFont val="Calibri"/>
        <family val="2"/>
      </rPr>
      <t>O</t>
    </r>
  </si>
  <si>
    <r>
      <t>kgCO</t>
    </r>
    <r>
      <rPr>
        <vertAlign val="subscript"/>
        <sz val="11"/>
        <color indexed="8"/>
        <rFont val="Calibri"/>
        <family val="2"/>
      </rPr>
      <t>2</t>
    </r>
    <r>
      <rPr>
        <sz val="11"/>
        <color indexed="8"/>
        <rFont val="Calibri"/>
        <family val="2"/>
      </rPr>
      <t>e/t</t>
    </r>
  </si>
  <si>
    <r>
      <t>kgCO</t>
    </r>
    <r>
      <rPr>
        <vertAlign val="subscript"/>
        <sz val="11"/>
        <color indexed="8"/>
        <rFont val="Calibri"/>
        <family val="2"/>
      </rPr>
      <t>2</t>
    </r>
    <r>
      <rPr>
        <sz val="11"/>
        <color theme="1"/>
        <rFont val="Calibri"/>
        <family val="2"/>
        <scheme val="minor"/>
      </rPr>
      <t>e/t</t>
    </r>
  </si>
  <si>
    <r>
      <t>tCO</t>
    </r>
    <r>
      <rPr>
        <vertAlign val="subscript"/>
        <sz val="11"/>
        <color indexed="8"/>
        <rFont val="Calibri"/>
        <family val="2"/>
      </rPr>
      <t>2</t>
    </r>
    <r>
      <rPr>
        <sz val="11"/>
        <color indexed="8"/>
        <rFont val="Calibri"/>
        <family val="2"/>
      </rPr>
      <t>e/yr</t>
    </r>
  </si>
  <si>
    <r>
      <t>total N</t>
    </r>
    <r>
      <rPr>
        <vertAlign val="subscript"/>
        <sz val="11"/>
        <color indexed="8"/>
        <rFont val="Calibri"/>
        <family val="2"/>
      </rPr>
      <t>2</t>
    </r>
    <r>
      <rPr>
        <sz val="11"/>
        <color theme="1"/>
        <rFont val="Calibri"/>
        <family val="2"/>
        <scheme val="minor"/>
      </rPr>
      <t>O kg/ha from POME</t>
    </r>
  </si>
  <si>
    <r>
      <t>total N</t>
    </r>
    <r>
      <rPr>
        <vertAlign val="subscript"/>
        <sz val="11"/>
        <color indexed="8"/>
        <rFont val="Calibri"/>
        <family val="2"/>
      </rPr>
      <t>2</t>
    </r>
    <r>
      <rPr>
        <sz val="11"/>
        <color theme="1"/>
        <rFont val="Calibri"/>
        <family val="2"/>
        <scheme val="minor"/>
      </rPr>
      <t>O tCO2e/ha from POME</t>
    </r>
  </si>
  <si>
    <r>
      <t>total N</t>
    </r>
    <r>
      <rPr>
        <vertAlign val="subscript"/>
        <sz val="11"/>
        <color indexed="8"/>
        <rFont val="Calibri"/>
        <family val="2"/>
      </rPr>
      <t>2</t>
    </r>
    <r>
      <rPr>
        <sz val="11"/>
        <color indexed="8"/>
        <rFont val="Calibri"/>
        <family val="2"/>
      </rPr>
      <t>O kg/ha from EFB</t>
    </r>
  </si>
  <si>
    <r>
      <t>total N2O tCO</t>
    </r>
    <r>
      <rPr>
        <vertAlign val="subscript"/>
        <sz val="11"/>
        <color indexed="8"/>
        <rFont val="Calibri"/>
        <family val="2"/>
      </rPr>
      <t>2</t>
    </r>
    <r>
      <rPr>
        <sz val="11"/>
        <color theme="1"/>
        <rFont val="Calibri"/>
        <family val="2"/>
        <scheme val="minor"/>
      </rPr>
      <t>e/ha from EFB</t>
    </r>
  </si>
  <si>
    <r>
      <t>Fertiliser tCO</t>
    </r>
    <r>
      <rPr>
        <vertAlign val="subscript"/>
        <sz val="11"/>
        <color indexed="8"/>
        <rFont val="Calibri"/>
        <family val="2"/>
      </rPr>
      <t>2</t>
    </r>
    <r>
      <rPr>
        <sz val="11"/>
        <color indexed="8"/>
        <rFont val="Calibri"/>
        <family val="2"/>
      </rPr>
      <t>e/ha</t>
    </r>
  </si>
  <si>
    <r>
      <t>EFB tCO</t>
    </r>
    <r>
      <rPr>
        <vertAlign val="subscript"/>
        <sz val="11"/>
        <color indexed="8"/>
        <rFont val="Calibri"/>
        <family val="2"/>
      </rPr>
      <t>2</t>
    </r>
    <r>
      <rPr>
        <sz val="11"/>
        <color indexed="8"/>
        <rFont val="Calibri"/>
        <family val="2"/>
      </rPr>
      <t>e/ha</t>
    </r>
  </si>
  <si>
    <r>
      <t>POME tCO</t>
    </r>
    <r>
      <rPr>
        <vertAlign val="subscript"/>
        <sz val="11"/>
        <color indexed="8"/>
        <rFont val="Calibri"/>
        <family val="2"/>
      </rPr>
      <t>2</t>
    </r>
    <r>
      <rPr>
        <sz val="11"/>
        <color indexed="8"/>
        <rFont val="Calibri"/>
        <family val="2"/>
      </rPr>
      <t>e/ha</t>
    </r>
  </si>
  <si>
    <r>
      <t>Total N</t>
    </r>
    <r>
      <rPr>
        <vertAlign val="subscript"/>
        <sz val="11"/>
        <color indexed="8"/>
        <rFont val="Calibri"/>
        <family val="2"/>
      </rPr>
      <t>2</t>
    </r>
    <r>
      <rPr>
        <sz val="11"/>
        <color indexed="8"/>
        <rFont val="Calibri"/>
        <family val="2"/>
      </rPr>
      <t>O tCO2e/ha</t>
    </r>
  </si>
  <si>
    <r>
      <t>Sea transport kg CO</t>
    </r>
    <r>
      <rPr>
        <vertAlign val="subscript"/>
        <sz val="11"/>
        <color indexed="8"/>
        <rFont val="Calibri"/>
        <family val="2"/>
      </rPr>
      <t>2</t>
    </r>
    <r>
      <rPr>
        <sz val="11"/>
        <color indexed="8"/>
        <rFont val="Calibri"/>
        <family val="2"/>
      </rPr>
      <t>e/km.t</t>
    </r>
  </si>
  <si>
    <r>
      <t>CO</t>
    </r>
    <r>
      <rPr>
        <b/>
        <vertAlign val="subscript"/>
        <sz val="11"/>
        <rFont val="Calibri"/>
        <family val="2"/>
      </rPr>
      <t>2</t>
    </r>
    <r>
      <rPr>
        <b/>
        <sz val="11"/>
        <rFont val="Calibri"/>
        <family val="2"/>
      </rPr>
      <t>e</t>
    </r>
  </si>
  <si>
    <r>
      <t>Diesel kg CO</t>
    </r>
    <r>
      <rPr>
        <vertAlign val="subscript"/>
        <sz val="11"/>
        <rFont val="Calibri"/>
        <family val="2"/>
      </rPr>
      <t>2</t>
    </r>
    <r>
      <rPr>
        <sz val="11"/>
        <rFont val="Calibri"/>
        <family val="2"/>
      </rPr>
      <t>e/l</t>
    </r>
  </si>
  <si>
    <r>
      <t>GWP of N</t>
    </r>
    <r>
      <rPr>
        <vertAlign val="subscript"/>
        <sz val="11"/>
        <rFont val="Calibri"/>
        <family val="2"/>
      </rPr>
      <t>2</t>
    </r>
    <r>
      <rPr>
        <sz val="11"/>
        <rFont val="Calibri"/>
        <family val="2"/>
      </rPr>
      <t>O kgCO</t>
    </r>
    <r>
      <rPr>
        <vertAlign val="subscript"/>
        <sz val="11"/>
        <rFont val="Calibri"/>
        <family val="2"/>
      </rPr>
      <t>2</t>
    </r>
    <r>
      <rPr>
        <sz val="11"/>
        <rFont val="Calibri"/>
        <family val="2"/>
      </rPr>
      <t>e/kgN</t>
    </r>
    <r>
      <rPr>
        <vertAlign val="subscript"/>
        <sz val="11"/>
        <rFont val="Calibri"/>
        <family val="2"/>
      </rPr>
      <t>2</t>
    </r>
    <r>
      <rPr>
        <sz val="11"/>
        <rFont val="Calibri"/>
        <family val="2"/>
      </rPr>
      <t>O</t>
    </r>
  </si>
  <si>
    <r>
      <t>Direct N</t>
    </r>
    <r>
      <rPr>
        <vertAlign val="subscript"/>
        <sz val="11"/>
        <color indexed="8"/>
        <rFont val="Calibri"/>
        <family val="2"/>
      </rPr>
      <t>2</t>
    </r>
    <r>
      <rPr>
        <sz val="11"/>
        <color indexed="8"/>
        <rFont val="Calibri"/>
        <family val="2"/>
      </rPr>
      <t>O production kgN</t>
    </r>
    <r>
      <rPr>
        <vertAlign val="subscript"/>
        <sz val="11"/>
        <color indexed="8"/>
        <rFont val="Calibri"/>
        <family val="2"/>
      </rPr>
      <t>2</t>
    </r>
    <r>
      <rPr>
        <sz val="11"/>
        <color indexed="8"/>
        <rFont val="Calibri"/>
        <family val="2"/>
      </rPr>
      <t>O-N/kg applied N</t>
    </r>
  </si>
  <si>
    <r>
      <t>Fertiliser transport kgCO</t>
    </r>
    <r>
      <rPr>
        <vertAlign val="subscript"/>
        <sz val="11"/>
        <rFont val="Calibri"/>
        <family val="2"/>
      </rPr>
      <t>2</t>
    </r>
    <r>
      <rPr>
        <sz val="11"/>
        <rFont val="Calibri"/>
        <family val="2"/>
      </rPr>
      <t>e/km.t</t>
    </r>
  </si>
  <si>
    <r>
      <t>CH</t>
    </r>
    <r>
      <rPr>
        <vertAlign val="subscript"/>
        <sz val="11"/>
        <color indexed="8"/>
        <rFont val="Calibri"/>
        <family val="2"/>
      </rPr>
      <t>4</t>
    </r>
    <r>
      <rPr>
        <sz val="11"/>
        <color indexed="8"/>
        <rFont val="Calibri"/>
        <family val="2"/>
      </rPr>
      <t xml:space="preserve"> lost from digestion %</t>
    </r>
  </si>
  <si>
    <r>
      <t>CH</t>
    </r>
    <r>
      <rPr>
        <vertAlign val="subscript"/>
        <sz val="11"/>
        <rFont val="Calibri"/>
        <family val="2"/>
      </rPr>
      <t>4</t>
    </r>
    <r>
      <rPr>
        <sz val="11"/>
        <rFont val="Calibri"/>
        <family val="2"/>
      </rPr>
      <t xml:space="preserve"> lost in gas motor %</t>
    </r>
  </si>
  <si>
    <r>
      <t>Lower Heating Value MJ/kg CH</t>
    </r>
    <r>
      <rPr>
        <vertAlign val="subscript"/>
        <sz val="11"/>
        <rFont val="Calibri"/>
        <family val="2"/>
      </rPr>
      <t>4</t>
    </r>
  </si>
  <si>
    <t>Ground magnesium limestone</t>
  </si>
  <si>
    <t>Planting year</t>
  </si>
  <si>
    <r>
      <t>Total tCO</t>
    </r>
    <r>
      <rPr>
        <vertAlign val="subscript"/>
        <sz val="11"/>
        <color indexed="8"/>
        <rFont val="Calibri"/>
        <family val="2"/>
      </rPr>
      <t>2</t>
    </r>
    <r>
      <rPr>
        <sz val="11"/>
        <color indexed="8"/>
        <rFont val="Calibri"/>
        <family val="2"/>
      </rPr>
      <t>e/ha</t>
    </r>
  </si>
  <si>
    <t>%MgO</t>
  </si>
  <si>
    <t>%K2O</t>
  </si>
  <si>
    <t>%P2O5</t>
  </si>
  <si>
    <r>
      <t>Total tCO</t>
    </r>
    <r>
      <rPr>
        <vertAlign val="subscript"/>
        <sz val="11"/>
        <color indexed="8"/>
        <rFont val="Calibri"/>
        <family val="2"/>
      </rPr>
      <t>2</t>
    </r>
  </si>
  <si>
    <r>
      <t>tCO</t>
    </r>
    <r>
      <rPr>
        <vertAlign val="subscript"/>
        <sz val="11"/>
        <color indexed="8"/>
        <rFont val="Calibri"/>
        <family val="2"/>
      </rPr>
      <t>2</t>
    </r>
    <r>
      <rPr>
        <sz val="11"/>
        <color indexed="8"/>
        <rFont val="Calibri"/>
        <family val="2"/>
      </rPr>
      <t>/ha</t>
    </r>
  </si>
  <si>
    <r>
      <t>Emissions from peat tCO</t>
    </r>
    <r>
      <rPr>
        <vertAlign val="subscript"/>
        <sz val="11"/>
        <color indexed="8"/>
        <rFont val="Calibri"/>
        <family val="2"/>
      </rPr>
      <t>2</t>
    </r>
    <r>
      <rPr>
        <sz val="11"/>
        <color indexed="8"/>
        <rFont val="Calibri"/>
        <family val="2"/>
      </rPr>
      <t>/planting year</t>
    </r>
  </si>
  <si>
    <t>MacDicken K.G.(1997) A Guide to monitoring carbon storage in Forestry and Agroforestry projects. Winrock International Institute for International Development.</t>
  </si>
  <si>
    <t>Winrock (2010). N Harris, pers com. MODIS data 2000 to 2007</t>
  </si>
  <si>
    <t>Lasco R D, Sales R F, Estrella R, Saplaco S R, Castillo L S A, Cruz R V O and Pulhin F B. (2001). Carbon stocks assessment of two agroforestry systems in the Makiling Forest Reserve, Philippines. Philippine Agricultural Scientist, 84, 401-407.</t>
  </si>
  <si>
    <t>http://www.searates.com</t>
  </si>
  <si>
    <r>
      <t>kgCO</t>
    </r>
    <r>
      <rPr>
        <vertAlign val="subscript"/>
        <sz val="11"/>
        <color indexed="8"/>
        <rFont val="Calibri"/>
        <family val="2"/>
      </rPr>
      <t>2</t>
    </r>
    <r>
      <rPr>
        <sz val="11"/>
        <color theme="1"/>
        <rFont val="Calibri"/>
        <family val="2"/>
        <scheme val="minor"/>
      </rPr>
      <t>e/t fertiliser</t>
    </r>
  </si>
  <si>
    <t>Outgrower fuel consumption l/yr</t>
  </si>
  <si>
    <t>Mila i Canals L (2011) pers comm</t>
  </si>
  <si>
    <t>Allocation of net emissions to crop products</t>
  </si>
  <si>
    <t>% of FFB emissions attributable to CPO</t>
  </si>
  <si>
    <t>% of FFB emissions attributable to PK</t>
  </si>
  <si>
    <t>PKO</t>
  </si>
  <si>
    <t>PKE</t>
  </si>
  <si>
    <t>Palm kernel oil</t>
  </si>
  <si>
    <t>Palm kernel expeller</t>
  </si>
  <si>
    <t>This sheet allocates FFB and PK emissions to crop products, by mass.</t>
  </si>
  <si>
    <t>N volatilisation loss %</t>
  </si>
  <si>
    <r>
      <t>Indirect N2O production kgN</t>
    </r>
    <r>
      <rPr>
        <vertAlign val="subscript"/>
        <sz val="11"/>
        <color indexed="8"/>
        <rFont val="Calibri"/>
        <family val="2"/>
      </rPr>
      <t>2</t>
    </r>
    <r>
      <rPr>
        <sz val="11"/>
        <color indexed="8"/>
        <rFont val="Calibri"/>
        <family val="2"/>
      </rPr>
      <t>O-N/kg N lost through runoff and leaching</t>
    </r>
  </si>
  <si>
    <r>
      <t>Indirect N2O production kgN</t>
    </r>
    <r>
      <rPr>
        <vertAlign val="subscript"/>
        <sz val="11"/>
        <color indexed="8"/>
        <rFont val="Calibri"/>
        <family val="2"/>
      </rPr>
      <t>2</t>
    </r>
    <r>
      <rPr>
        <sz val="11"/>
        <color indexed="8"/>
        <rFont val="Calibri"/>
        <family val="2"/>
      </rPr>
      <t>O-N/kg N lost through volatilisation</t>
    </r>
  </si>
  <si>
    <t>N lost through runoff and leaching %</t>
  </si>
  <si>
    <t>Conservation Block sequestration</t>
  </si>
  <si>
    <t>seq</t>
  </si>
  <si>
    <t>Sequestration</t>
  </si>
  <si>
    <t>JEC (2011). Well-to-wheels analysis of future automotive fuels and powertrains in the European context. Well-to-tank Report Version 3c, Appendix 1 and 2. CONCAWE, EUCAR and JRC. http://ies.jrc.ec.europa.eu/WTW.</t>
  </si>
  <si>
    <t>Triple superphosphate</t>
  </si>
  <si>
    <r>
      <t>Direct and indirect N2O production from peat soils kgN</t>
    </r>
    <r>
      <rPr>
        <vertAlign val="subscript"/>
        <sz val="11"/>
        <color theme="1"/>
        <rFont val="Calibri"/>
        <family val="2"/>
        <scheme val="minor"/>
      </rPr>
      <t>2</t>
    </r>
    <r>
      <rPr>
        <sz val="11"/>
        <color theme="1"/>
        <rFont val="Calibri"/>
        <family val="2"/>
        <scheme val="minor"/>
      </rPr>
      <t>O-N/ha.yr</t>
    </r>
  </si>
  <si>
    <r>
      <t>kgCH</t>
    </r>
    <r>
      <rPr>
        <vertAlign val="subscript"/>
        <sz val="11"/>
        <color theme="1"/>
        <rFont val="Calibri"/>
        <family val="2"/>
        <scheme val="minor"/>
      </rPr>
      <t>4</t>
    </r>
    <r>
      <rPr>
        <sz val="11"/>
        <color theme="1"/>
        <rFont val="Calibri"/>
        <family val="2"/>
        <scheme val="minor"/>
      </rPr>
      <t>/tPOME</t>
    </r>
  </si>
  <si>
    <r>
      <t>Credit for  export of PK shell as substitute for coal kg CO</t>
    </r>
    <r>
      <rPr>
        <vertAlign val="subscript"/>
        <sz val="11"/>
        <rFont val="Calibri"/>
        <family val="2"/>
        <scheme val="minor"/>
      </rPr>
      <t>2</t>
    </r>
    <r>
      <rPr>
        <sz val="11"/>
        <rFont val="Calibri"/>
        <family val="2"/>
        <scheme val="minor"/>
      </rPr>
      <t>e/t shell</t>
    </r>
  </si>
  <si>
    <t xml:space="preserve">Caliman J.P., Carcasses R., Girardin P., Pujianto, Dubos B., and Liwang T. (2005) Development of agro-environmental indicators for sustainable management of oil palm growing: general concept and example of nitrogen. In: Proceedings of PIPOC 2005 International Palm Oil Congress, Agriculture, Biotechnology and Sustainability Conference, 413-432. Kuala Lumpur: Malaysian Palm Oil Board.   </t>
  </si>
  <si>
    <r>
      <t>N</t>
    </r>
    <r>
      <rPr>
        <vertAlign val="subscript"/>
        <sz val="11"/>
        <color theme="1"/>
        <rFont val="Calibri"/>
        <family val="2"/>
        <scheme val="minor"/>
      </rPr>
      <t>2</t>
    </r>
    <r>
      <rPr>
        <sz val="11"/>
        <color theme="1"/>
        <rFont val="Calibri"/>
        <family val="2"/>
        <scheme val="minor"/>
      </rPr>
      <t>O</t>
    </r>
  </si>
  <si>
    <r>
      <t>N</t>
    </r>
    <r>
      <rPr>
        <b/>
        <vertAlign val="subscript"/>
        <sz val="11"/>
        <color indexed="8"/>
        <rFont val="Calibri"/>
        <family val="2"/>
      </rPr>
      <t>2</t>
    </r>
    <r>
      <rPr>
        <b/>
        <sz val="11"/>
        <color theme="1"/>
        <rFont val="Calibri"/>
        <family val="2"/>
        <scheme val="minor"/>
      </rPr>
      <t>O summary</t>
    </r>
  </si>
  <si>
    <r>
      <t>Diesel kg CO</t>
    </r>
    <r>
      <rPr>
        <vertAlign val="subscript"/>
        <sz val="11"/>
        <rFont val="Calibri"/>
        <family val="2"/>
        <scheme val="minor"/>
      </rPr>
      <t>2</t>
    </r>
    <r>
      <rPr>
        <sz val="11"/>
        <rFont val="Calibri"/>
        <family val="2"/>
        <scheme val="minor"/>
      </rPr>
      <t>e/l</t>
    </r>
  </si>
  <si>
    <r>
      <t>Mean Cseq in Conservation Blocks tCO</t>
    </r>
    <r>
      <rPr>
        <vertAlign val="subscript"/>
        <sz val="11"/>
        <rFont val="Calibri"/>
        <family val="2"/>
      </rPr>
      <t>2</t>
    </r>
    <r>
      <rPr>
        <sz val="11"/>
        <rFont val="Calibri"/>
        <family val="2"/>
        <scheme val="minor"/>
      </rPr>
      <t>e/ha.yr</t>
    </r>
  </si>
  <si>
    <r>
      <t>Cseq in Conservation Blocks allocated to palm area tCO</t>
    </r>
    <r>
      <rPr>
        <vertAlign val="subscript"/>
        <sz val="11"/>
        <rFont val="Calibri"/>
        <family val="2"/>
        <scheme val="minor"/>
      </rPr>
      <t>2</t>
    </r>
    <r>
      <rPr>
        <sz val="11"/>
        <rFont val="Calibri"/>
        <family val="2"/>
        <scheme val="minor"/>
      </rPr>
      <t>e/ha.yr</t>
    </r>
  </si>
  <si>
    <t>http://www.biograce.net/</t>
  </si>
  <si>
    <t>Annual production of EFB, t</t>
  </si>
  <si>
    <t>European Union Commission (2009). Directive 2009/28/EC Draft Annex V. Draft Commission Decision (of 31 December 2009) on guidelines for the calculation of land carbon stocks for the purpose of Annex V of Directive 2009/28/EC. European Commission, Brussels. 26 p.</t>
  </si>
  <si>
    <t>AC</t>
  </si>
  <si>
    <t>Ammonium chloride</t>
  </si>
  <si>
    <t>Methane emissions tCO2e</t>
  </si>
  <si>
    <r>
      <t>Total CH</t>
    </r>
    <r>
      <rPr>
        <vertAlign val="subscript"/>
        <sz val="11"/>
        <rFont val="Calibri"/>
        <family val="2"/>
      </rPr>
      <t>4</t>
    </r>
    <r>
      <rPr>
        <sz val="11"/>
        <rFont val="Calibri"/>
        <family val="2"/>
      </rPr>
      <t xml:space="preserve"> emissions tCO</t>
    </r>
    <r>
      <rPr>
        <vertAlign val="subscript"/>
        <sz val="11"/>
        <rFont val="Calibri"/>
        <family val="2"/>
      </rPr>
      <t>2</t>
    </r>
    <r>
      <rPr>
        <sz val="11"/>
        <rFont val="Calibri"/>
        <family val="2"/>
      </rPr>
      <t>e</t>
    </r>
  </si>
  <si>
    <t xml:space="preserve">Peat </t>
  </si>
  <si>
    <t>Allocation:</t>
  </si>
  <si>
    <r>
      <t>Total tCO</t>
    </r>
    <r>
      <rPr>
        <vertAlign val="subscript"/>
        <sz val="11"/>
        <color indexed="8"/>
        <rFont val="Calibri"/>
        <family val="2"/>
      </rPr>
      <t>2</t>
    </r>
    <r>
      <rPr>
        <sz val="11"/>
        <color indexed="8"/>
        <rFont val="Calibri"/>
        <family val="2"/>
      </rPr>
      <t>e/yr</t>
    </r>
  </si>
  <si>
    <r>
      <t>Cseq in Conservation Blocks allocated to palm area tCO</t>
    </r>
    <r>
      <rPr>
        <vertAlign val="subscript"/>
        <sz val="11"/>
        <rFont val="Calibri"/>
        <family val="2"/>
        <scheme val="minor"/>
      </rPr>
      <t>2</t>
    </r>
    <r>
      <rPr>
        <sz val="11"/>
        <rFont val="Calibri"/>
        <family val="2"/>
        <scheme val="minor"/>
      </rPr>
      <t>e/yr</t>
    </r>
  </si>
  <si>
    <t>Conservation credit</t>
  </si>
  <si>
    <t>tCO2e</t>
  </si>
  <si>
    <t>Swiss Centre for Life Cycle Inventories (2010). Ecoinvent 2.2</t>
  </si>
  <si>
    <t>Product</t>
  </si>
  <si>
    <t>Hooijer A., S. Page, J. G. Canadell, M. Silvius, J. Kwadijk, H. Wosten, J. Jauhiainen (2010) Current and future CO2 emissions from drained peatlands in Southeast Asia. Biogeosciences Discuss., 7, 1505-1514</t>
  </si>
  <si>
    <t>RSPO PLWG (in press). Environmental and social impacts of oil palm cultivation on tropical peat – a scientific review. Final Version, May 2012.</t>
  </si>
  <si>
    <t>Page S.E, Morrison R, Malins C, Hooijer A, Rieley J.O., Jauhiainen J (2011) . Review of peat surface greenhouse gas emissions from oil palm plantations in Southeast Asia (ICCT white paper 15). Washington: International Council on Clean Transportation.</t>
  </si>
  <si>
    <t>This worksheet is locked to prevent users from accidentally overwriting the contents. The password to unlock this worksheet is "default"</t>
  </si>
  <si>
    <t xml:space="preserve">This sheet contains standard conversion factors, and the data that are needed for the calculator but are typically not available from palm oil growers. The values for carbon stocks in land uses will be updated with the values provided by GHGWG2 (WS3) once these are peer reviewed and published (Agus et al. in press [25]). </t>
  </si>
  <si>
    <t>Mokany, K., Raison, R.J., Prokushkin, A.S. (2005), Critical analysis of root:shoot ratios in terrestrial biomes.  Global Change Biology 12: 84-96.</t>
  </si>
  <si>
    <t>Field fuel</t>
  </si>
  <si>
    <t>Mill fuel</t>
  </si>
  <si>
    <r>
      <t>Total N</t>
    </r>
    <r>
      <rPr>
        <vertAlign val="subscript"/>
        <sz val="11"/>
        <color indexed="8"/>
        <rFont val="Calibri"/>
        <family val="2"/>
      </rPr>
      <t>2</t>
    </r>
    <r>
      <rPr>
        <sz val="11"/>
        <color indexed="8"/>
        <rFont val="Calibri"/>
        <family val="2"/>
      </rPr>
      <t>O tCO2e/yr</t>
    </r>
  </si>
  <si>
    <t>Yew F K (2000). Impact of zero burning on biomass and nutrient turnover in rubber replanting. Paper presented at International Symposium on Sustainable Land Management. Sri Kembangan, Selangor, Malaysia.</t>
  </si>
  <si>
    <t>Yew F K and Mohd Nasaruddin (2002). Biomass and carbon sequestration determinations in rubber. Methodologies and case studies. Seminar on Climate Change and Carbon Accounting. Department of Standards, Malaysia and SIRIM Sdn Bhd, Shah Alam, Malaysia. 13 pp.</t>
  </si>
  <si>
    <t>Henson I.E. (2005a) OPRODSIM, a versatile, mechanistic simulation model of oil palm dry matter production and yield. In: Proceedings of PIPOC 2005 International Palm Oil Congress, Agriculture, Biotechnology and Sustainability Conference, 801-832. Kuala Lumpur: Malaysian Palm Oil Board.</t>
  </si>
  <si>
    <t>Diesel consumption for transporting EFB by road l/km.t</t>
  </si>
  <si>
    <t>FW</t>
  </si>
  <si>
    <t>Fresh weight</t>
  </si>
  <si>
    <t>Lower heating value of EFB MJ/kg (FW)</t>
  </si>
  <si>
    <t>EFB boiler efficiency %</t>
  </si>
  <si>
    <t>EFB turbine alternator efficiency %</t>
  </si>
  <si>
    <t>Pang J (2013) pers comm</t>
  </si>
  <si>
    <t>Energy production MJ/t EFB</t>
  </si>
  <si>
    <t>http://cdm.unfccc.int/methodologies/DB/4ND00PCGC7WXR3L0LOJTS6SVZP4NSU</t>
  </si>
  <si>
    <t>t CH4/t COD removed during digestion</t>
  </si>
  <si>
    <t>Model correction factor for deep lagoon</t>
  </si>
  <si>
    <t>Model correction factor for uncertainties</t>
  </si>
  <si>
    <t>COD</t>
  </si>
  <si>
    <t>Chemical oxygen demand</t>
  </si>
  <si>
    <t>% EFB applied directly to field</t>
  </si>
  <si>
    <t>N content of compost %</t>
  </si>
  <si>
    <r>
      <t>total N</t>
    </r>
    <r>
      <rPr>
        <vertAlign val="subscript"/>
        <sz val="11"/>
        <color indexed="8"/>
        <rFont val="Calibri"/>
        <family val="2"/>
      </rPr>
      <t>2</t>
    </r>
    <r>
      <rPr>
        <sz val="11"/>
        <color indexed="8"/>
        <rFont val="Calibri"/>
        <family val="2"/>
      </rPr>
      <t>O kg/ha from compost</t>
    </r>
  </si>
  <si>
    <r>
      <t>total N2O tCO</t>
    </r>
    <r>
      <rPr>
        <vertAlign val="subscript"/>
        <sz val="11"/>
        <color indexed="8"/>
        <rFont val="Calibri"/>
        <family val="2"/>
      </rPr>
      <t>2</t>
    </r>
    <r>
      <rPr>
        <sz val="11"/>
        <color theme="1"/>
        <rFont val="Calibri"/>
        <family val="2"/>
        <scheme val="minor"/>
      </rPr>
      <t>e/ha from compost</t>
    </r>
  </si>
  <si>
    <r>
      <t>total N2O tCO</t>
    </r>
    <r>
      <rPr>
        <vertAlign val="subscript"/>
        <sz val="11"/>
        <color indexed="8"/>
        <rFont val="Calibri"/>
        <family val="2"/>
      </rPr>
      <t>2</t>
    </r>
    <r>
      <rPr>
        <sz val="11"/>
        <color theme="1"/>
        <rFont val="Calibri"/>
        <family val="2"/>
        <scheme val="minor"/>
      </rPr>
      <t>e/ha from EFB and compost</t>
    </r>
  </si>
  <si>
    <t>Undisturbed forest</t>
  </si>
  <si>
    <t>Disturbed forest</t>
  </si>
  <si>
    <t>Shrubland</t>
  </si>
  <si>
    <t>Annual/food crop</t>
  </si>
  <si>
    <r>
      <t>Petrol kg CO</t>
    </r>
    <r>
      <rPr>
        <vertAlign val="subscript"/>
        <sz val="11"/>
        <rFont val="Calibri"/>
        <family val="2"/>
        <scheme val="minor"/>
      </rPr>
      <t>2</t>
    </r>
    <r>
      <rPr>
        <sz val="11"/>
        <rFont val="Calibri"/>
        <family val="2"/>
        <scheme val="minor"/>
      </rPr>
      <t>e/l</t>
    </r>
  </si>
  <si>
    <r>
      <t>Petrol kg CO</t>
    </r>
    <r>
      <rPr>
        <vertAlign val="subscript"/>
        <sz val="11"/>
        <rFont val="Calibri"/>
        <family val="2"/>
      </rPr>
      <t>2</t>
    </r>
    <r>
      <rPr>
        <sz val="11"/>
        <rFont val="Calibri"/>
        <family val="2"/>
      </rPr>
      <t>e/l</t>
    </r>
  </si>
  <si>
    <t xml:space="preserve">Diesel </t>
  </si>
  <si>
    <t>Petrol</t>
  </si>
  <si>
    <t xml:space="preserve">Total diesel </t>
  </si>
  <si>
    <t xml:space="preserve">Total petrol </t>
  </si>
  <si>
    <t>l/yr</t>
  </si>
  <si>
    <t>l/ha</t>
  </si>
  <si>
    <t>Diesel</t>
  </si>
  <si>
    <t>Outgrower consumption</t>
  </si>
  <si>
    <t>Road transport from local port or local distributor to mill km</t>
  </si>
  <si>
    <t>Default oversea transport from abroad</t>
  </si>
  <si>
    <t>Quantity of POME produced t/yr</t>
  </si>
  <si>
    <t>Tree crops</t>
  </si>
  <si>
    <t xml:space="preserve">Agus, F., Henson, I.E., Sahardjo, B.H., Harris, N., van Noordwijk, M.&amp; Killeen, T.J. 2013a. Review of emission factors for assessment of CO2 emission from land use change to oil palm in Southeast Asia. In T.J. Killen &amp; J. Goon (eds). Reports from the Technical Panels of the Second RSPO GHG Working Groupp, Roundtable on Sustainable Palm Oil - RSPO, Kuala Lumpur. Increased by 20% to allow for root biomass as per Mokany, K., Raison, R.J., Prokushkin, A.S. (2005), Critical analysis of root: shoot ratios in terrestrial biomes. Global Change Biology 12: 84096. </t>
  </si>
  <si>
    <t>Enter the detailed composition of the complex fertiliser</t>
  </si>
  <si>
    <t>Formula of the complex fertiliser</t>
  </si>
  <si>
    <t>Contents in macro nutrients</t>
  </si>
  <si>
    <t>N from urea</t>
  </si>
  <si>
    <t>N from ammonium nitrate</t>
  </si>
  <si>
    <t>N from sulphate of ammonia</t>
  </si>
  <si>
    <t>N from ammonium chloride</t>
  </si>
  <si>
    <t>N from diammonium phosphate</t>
  </si>
  <si>
    <t>Content of N</t>
  </si>
  <si>
    <t>% of N</t>
  </si>
  <si>
    <t>P2O5 from diammonium phosphate</t>
  </si>
  <si>
    <t>P2O5 from triple superphosphate</t>
  </si>
  <si>
    <t>P2O5 from ground rock phosphate</t>
  </si>
  <si>
    <t>Content of P2O5</t>
  </si>
  <si>
    <t>% of P2O5</t>
  </si>
  <si>
    <t>K2O from muriate of potash or potassium chloride</t>
  </si>
  <si>
    <t>K2O from potassium sulphate</t>
  </si>
  <si>
    <t>Content of K2O</t>
  </si>
  <si>
    <t>% of K2O</t>
  </si>
  <si>
    <t>Contents in secondary macro nutrients</t>
  </si>
  <si>
    <t>Content of Ca</t>
  </si>
  <si>
    <t>% of CaCl2</t>
  </si>
  <si>
    <t>Content of MgO</t>
  </si>
  <si>
    <t>% of MgO</t>
  </si>
  <si>
    <t>Content of S</t>
  </si>
  <si>
    <t>% S</t>
  </si>
  <si>
    <t>Contents in micro nutrients</t>
  </si>
  <si>
    <t>Content in Cu</t>
  </si>
  <si>
    <t>% of CuO</t>
  </si>
  <si>
    <t>Content in Fe</t>
  </si>
  <si>
    <t>% of FeSO4</t>
  </si>
  <si>
    <t>Content in B</t>
  </si>
  <si>
    <t>% of B2O3</t>
  </si>
  <si>
    <t>Content in Zn</t>
  </si>
  <si>
    <t>% of ZnO</t>
  </si>
  <si>
    <t>Total CO2eq/ton complex fertiliser</t>
  </si>
  <si>
    <t>Default parameters taken from Ecoinvent v2 (GHG based on IPCC 2007-100 years)</t>
  </si>
  <si>
    <t>kgCO2eq/kg</t>
  </si>
  <si>
    <t>Used parameters</t>
  </si>
  <si>
    <t>N from various N-fertilisers</t>
  </si>
  <si>
    <t>P2O5 from phosphate rock</t>
  </si>
  <si>
    <t>P2O5 from various P-fertilisers</t>
  </si>
  <si>
    <t>K2O from various K-fertilisers</t>
  </si>
  <si>
    <t>Ca from calcium chloride at plant</t>
  </si>
  <si>
    <t>MgO from magnesium oxide at plant</t>
  </si>
  <si>
    <t>S from</t>
  </si>
  <si>
    <t>Cu from copper oxide at plant</t>
  </si>
  <si>
    <t>Fe from iron sulphate at plant</t>
  </si>
  <si>
    <t>B from boric oxide at plant</t>
  </si>
  <si>
    <t>Zn from zinc oxide at plant</t>
  </si>
  <si>
    <t>Land use type</t>
  </si>
  <si>
    <t>Vigorous growth</t>
  </si>
  <si>
    <t>Planting Year</t>
  </si>
  <si>
    <t>Palm Roots</t>
  </si>
  <si>
    <t>Ground Cover</t>
  </si>
  <si>
    <t>Front Piles</t>
  </si>
  <si>
    <t>Palm Litter</t>
  </si>
  <si>
    <t>Total Biomass</t>
  </si>
  <si>
    <t>Average growth</t>
  </si>
  <si>
    <t>tBiomass/ha.yr (25 yr avg)</t>
  </si>
  <si>
    <t>tCO2e/ha.yr (25 yr avg)</t>
  </si>
  <si>
    <t>Oil Palm (Vigorous)</t>
  </si>
  <si>
    <t>Oil Palm (Average)</t>
  </si>
  <si>
    <t>Proposed development (peat soil)</t>
  </si>
  <si>
    <t>Proposed development (mineral soil)</t>
  </si>
  <si>
    <t>tC/ha</t>
  </si>
  <si>
    <t>Is water table actively managed (Good water management = Y, Partial water management = P, No water management = N)?</t>
  </si>
  <si>
    <t>If water table is not managed, cm:</t>
  </si>
  <si>
    <t>If water table is partially managed, cm:</t>
  </si>
  <si>
    <t>If water table is actively managed (good water management), cm:</t>
  </si>
  <si>
    <r>
      <t>Biodiesel kg CO</t>
    </r>
    <r>
      <rPr>
        <vertAlign val="subscript"/>
        <sz val="11"/>
        <rFont val="Calibri"/>
        <family val="2"/>
        <scheme val="minor"/>
      </rPr>
      <t>2</t>
    </r>
    <r>
      <rPr>
        <sz val="11"/>
        <rFont val="Calibri"/>
        <family val="2"/>
        <scheme val="minor"/>
      </rPr>
      <t>e/l</t>
    </r>
  </si>
  <si>
    <r>
      <t>Bioethanol kg CO</t>
    </r>
    <r>
      <rPr>
        <vertAlign val="subscript"/>
        <sz val="11"/>
        <rFont val="Calibri"/>
        <family val="2"/>
        <scheme val="minor"/>
      </rPr>
      <t>2</t>
    </r>
    <r>
      <rPr>
        <sz val="11"/>
        <rFont val="Calibri"/>
        <family val="2"/>
        <scheme val="minor"/>
      </rPr>
      <t>e/l</t>
    </r>
  </si>
  <si>
    <t>Biodiesel</t>
  </si>
  <si>
    <t>Consumption l/ha</t>
  </si>
  <si>
    <t>Consumption l/yr</t>
  </si>
  <si>
    <t>Bioethanol</t>
  </si>
  <si>
    <t>Projected fuel consumption per year</t>
  </si>
  <si>
    <t xml:space="preserve">Emission from field fuel </t>
  </si>
  <si>
    <t>FFB Production Data</t>
  </si>
  <si>
    <t>Expected yield tFFB/ha</t>
  </si>
  <si>
    <t>Expected yield tFFB/yr</t>
  </si>
  <si>
    <t>Expected throughput tFFB/yr</t>
  </si>
  <si>
    <t>Expected OER%</t>
  </si>
  <si>
    <t>Expected KER%</t>
  </si>
  <si>
    <t>Expected CPO production tCPO/yr</t>
  </si>
  <si>
    <t>Expected PK production tPK/yr</t>
  </si>
  <si>
    <t>CPO and PK Production</t>
  </si>
  <si>
    <t>Mill Fuel Consumption</t>
  </si>
  <si>
    <t>Emissions from POME</t>
  </si>
  <si>
    <t>POME treatment assumptions</t>
  </si>
  <si>
    <t>Export of biomass for energy production</t>
  </si>
  <si>
    <t>Planted area ha</t>
  </si>
  <si>
    <t>Mill Data</t>
  </si>
  <si>
    <t xml:space="preserve">Emission from mill fuel </t>
  </si>
  <si>
    <t>Fuel emission assumptions</t>
  </si>
  <si>
    <t>Default assumptions</t>
  </si>
  <si>
    <t>POME production</t>
  </si>
  <si>
    <t>% POME diverted to methane capture (flaring)</t>
  </si>
  <si>
    <t>% POME diverted to methane capture (electricity generation)</t>
  </si>
  <si>
    <t>% POME diverted to anaerobic pond (conventional)</t>
  </si>
  <si>
    <t>anaerobic pond (conventional)</t>
  </si>
  <si>
    <t>methane capture (flaring)</t>
  </si>
  <si>
    <t>methane capture (electricity generation)</t>
  </si>
  <si>
    <t>Electricity</t>
  </si>
  <si>
    <t>Expected PKS production t/yr</t>
  </si>
  <si>
    <t>EFB produced t/yr</t>
  </si>
  <si>
    <t>Sale of excess PKS for energy production t/yr</t>
  </si>
  <si>
    <t xml:space="preserve">Credit from the sale of PKS tCO2e/yr </t>
  </si>
  <si>
    <t xml:space="preserve">Credit from the sale of EFB tCO2e/yr </t>
  </si>
  <si>
    <t>User defined 3</t>
  </si>
  <si>
    <t>User defined 4</t>
  </si>
  <si>
    <t>User defined 5</t>
  </si>
  <si>
    <t>Expected fertiliser consumption</t>
  </si>
  <si>
    <t>t/ha</t>
  </si>
  <si>
    <t>Emissions from application</t>
  </si>
  <si>
    <r>
      <t>CO</t>
    </r>
    <r>
      <rPr>
        <vertAlign val="subscript"/>
        <sz val="11"/>
        <color theme="1"/>
        <rFont val="Calibri"/>
        <family val="2"/>
        <scheme val="minor"/>
      </rPr>
      <t>2</t>
    </r>
  </si>
  <si>
    <t>Emissions fr transport &amp; manufacture</t>
  </si>
  <si>
    <t>Summary of results</t>
  </si>
  <si>
    <t>Fertiliser type</t>
  </si>
  <si>
    <r>
      <t>tCO</t>
    </r>
    <r>
      <rPr>
        <vertAlign val="subscript"/>
        <sz val="11"/>
        <color indexed="8"/>
        <rFont val="Calibri"/>
        <family val="2"/>
      </rPr>
      <t>2</t>
    </r>
    <r>
      <rPr>
        <sz val="11"/>
        <color theme="1"/>
        <rFont val="Calibri"/>
        <family val="2"/>
        <scheme val="minor"/>
      </rPr>
      <t>e/ha</t>
    </r>
  </si>
  <si>
    <r>
      <t>Total emissions from LUC (incl other land use), tCO</t>
    </r>
    <r>
      <rPr>
        <vertAlign val="subscript"/>
        <sz val="11"/>
        <color theme="1"/>
        <rFont val="Calibri"/>
        <family val="2"/>
        <scheme val="minor"/>
      </rPr>
      <t>2</t>
    </r>
    <r>
      <rPr>
        <sz val="11"/>
        <color theme="1"/>
        <rFont val="Calibri"/>
        <family val="2"/>
        <scheme val="minor"/>
      </rPr>
      <t>e/yr</t>
    </r>
  </si>
  <si>
    <t>Excess electricity exported to worker housing/grid, kWh/yr</t>
  </si>
  <si>
    <t>Grid electricity utilisation, kWh/yr</t>
  </si>
  <si>
    <r>
      <t>Emissions from grid electricity used, tCO</t>
    </r>
    <r>
      <rPr>
        <vertAlign val="subscript"/>
        <sz val="11"/>
        <rFont val="Calibri"/>
        <family val="2"/>
        <scheme val="minor"/>
      </rPr>
      <t>2</t>
    </r>
    <r>
      <rPr>
        <sz val="11"/>
        <rFont val="Calibri"/>
        <family val="2"/>
        <scheme val="minor"/>
      </rPr>
      <t>e/yr</t>
    </r>
  </si>
  <si>
    <r>
      <t>Credit from excess electricity exported, tCO</t>
    </r>
    <r>
      <rPr>
        <vertAlign val="subscript"/>
        <sz val="11"/>
        <rFont val="Calibri"/>
        <family val="2"/>
        <scheme val="minor"/>
      </rPr>
      <t>2</t>
    </r>
    <r>
      <rPr>
        <sz val="11"/>
        <rFont val="Calibri"/>
        <family val="2"/>
        <scheme val="minor"/>
      </rPr>
      <t>e/yr</t>
    </r>
  </si>
  <si>
    <t xml:space="preserve">Purchased electricity </t>
  </si>
  <si>
    <t>Credit (excess electricity exported)</t>
  </si>
  <si>
    <t>Credit (sale of biomass for power)</t>
  </si>
  <si>
    <t>Mill emissions &amp; credit</t>
  </si>
  <si>
    <t>OER%</t>
  </si>
  <si>
    <t>KER%</t>
  </si>
  <si>
    <t>Summary (with mill)</t>
  </si>
  <si>
    <t>Fuel (mill &amp; field)</t>
  </si>
  <si>
    <t>Credit (electricity &amp; biomass)</t>
  </si>
  <si>
    <t>Emission factor for ground magnesium limestone, tC/t GML</t>
  </si>
  <si>
    <t>Emission factor for urea, tC/t urea</t>
  </si>
  <si>
    <r>
      <t>tCO</t>
    </r>
    <r>
      <rPr>
        <b/>
        <vertAlign val="subscript"/>
        <sz val="11"/>
        <color theme="1"/>
        <rFont val="Calibri"/>
        <family val="2"/>
        <scheme val="minor"/>
      </rPr>
      <t>2</t>
    </r>
    <r>
      <rPr>
        <b/>
        <sz val="11"/>
        <color theme="1"/>
        <rFont val="Calibri"/>
        <family val="2"/>
        <scheme val="minor"/>
      </rPr>
      <t>e/ha</t>
    </r>
  </si>
  <si>
    <r>
      <t>Total tCO</t>
    </r>
    <r>
      <rPr>
        <b/>
        <vertAlign val="subscript"/>
        <sz val="11"/>
        <color theme="1"/>
        <rFont val="Calibri"/>
        <family val="2"/>
        <scheme val="minor"/>
      </rPr>
      <t>2</t>
    </r>
    <r>
      <rPr>
        <b/>
        <sz val="11"/>
        <color theme="1"/>
        <rFont val="Calibri"/>
        <family val="2"/>
        <scheme val="minor"/>
      </rPr>
      <t>e</t>
    </r>
  </si>
  <si>
    <t>INTRODUCTION</t>
  </si>
  <si>
    <r>
      <t>t CO</t>
    </r>
    <r>
      <rPr>
        <vertAlign val="subscript"/>
        <sz val="11"/>
        <color theme="1"/>
        <rFont val="Calibri"/>
        <family val="2"/>
        <scheme val="minor"/>
      </rPr>
      <t>2</t>
    </r>
    <r>
      <rPr>
        <sz val="11"/>
        <color theme="1"/>
        <rFont val="Calibri"/>
        <family val="2"/>
        <scheme val="minor"/>
      </rPr>
      <t>e</t>
    </r>
  </si>
  <si>
    <r>
      <t>t CO</t>
    </r>
    <r>
      <rPr>
        <vertAlign val="subscript"/>
        <sz val="11"/>
        <color theme="1"/>
        <rFont val="Calibri"/>
        <family val="2"/>
        <scheme val="minor"/>
      </rPr>
      <t>2</t>
    </r>
    <r>
      <rPr>
        <sz val="11"/>
        <color theme="1"/>
        <rFont val="Calibri"/>
        <family val="2"/>
        <scheme val="minor"/>
      </rPr>
      <t>e/ha</t>
    </r>
  </si>
  <si>
    <r>
      <t>t CO</t>
    </r>
    <r>
      <rPr>
        <vertAlign val="subscript"/>
        <sz val="11"/>
        <color theme="1"/>
        <rFont val="Calibri"/>
        <family val="2"/>
        <scheme val="minor"/>
      </rPr>
      <t>2</t>
    </r>
    <r>
      <rPr>
        <sz val="11"/>
        <color theme="1"/>
        <rFont val="Calibri"/>
        <family val="2"/>
        <scheme val="minor"/>
      </rPr>
      <t>e/t FFB</t>
    </r>
  </si>
  <si>
    <r>
      <t>tCO</t>
    </r>
    <r>
      <rPr>
        <vertAlign val="subscript"/>
        <sz val="11"/>
        <rFont val="Calibri"/>
        <family val="2"/>
        <scheme val="minor"/>
      </rPr>
      <t>2</t>
    </r>
    <r>
      <rPr>
        <sz val="11"/>
        <rFont val="Calibri"/>
        <family val="2"/>
        <scheme val="minor"/>
      </rPr>
      <t>e</t>
    </r>
  </si>
  <si>
    <r>
      <t>tCO</t>
    </r>
    <r>
      <rPr>
        <vertAlign val="subscript"/>
        <sz val="11"/>
        <color theme="1"/>
        <rFont val="Calibri"/>
        <family val="2"/>
        <scheme val="minor"/>
      </rPr>
      <t>2</t>
    </r>
    <r>
      <rPr>
        <sz val="11"/>
        <color theme="1"/>
        <rFont val="Calibri"/>
        <family val="2"/>
        <scheme val="minor"/>
      </rPr>
      <t>e/tFFB</t>
    </r>
  </si>
  <si>
    <t xml:space="preserve">Total </t>
  </si>
  <si>
    <r>
      <t>tCO</t>
    </r>
    <r>
      <rPr>
        <vertAlign val="subscript"/>
        <sz val="11"/>
        <color theme="1"/>
        <rFont val="Calibri"/>
        <family val="2"/>
        <scheme val="minor"/>
      </rPr>
      <t>2</t>
    </r>
    <r>
      <rPr>
        <sz val="11"/>
        <color theme="1"/>
        <rFont val="Calibri"/>
        <family val="2"/>
        <scheme val="minor"/>
      </rPr>
      <t>e/t product</t>
    </r>
  </si>
  <si>
    <r>
      <t>Total emissions, tCO</t>
    </r>
    <r>
      <rPr>
        <b/>
        <vertAlign val="subscript"/>
        <sz val="11"/>
        <color theme="1"/>
        <rFont val="Calibri"/>
        <family val="2"/>
        <scheme val="minor"/>
      </rPr>
      <t>2</t>
    </r>
    <r>
      <rPr>
        <b/>
        <sz val="11"/>
        <color theme="1"/>
        <rFont val="Calibri"/>
        <family val="2"/>
        <scheme val="minor"/>
      </rPr>
      <t>e (field and mill)</t>
    </r>
  </si>
  <si>
    <r>
      <t>t CO</t>
    </r>
    <r>
      <rPr>
        <vertAlign val="subscript"/>
        <sz val="11"/>
        <color theme="1"/>
        <rFont val="Calibri"/>
        <family val="2"/>
        <scheme val="minor"/>
      </rPr>
      <t>2</t>
    </r>
    <r>
      <rPr>
        <sz val="11"/>
        <color theme="1"/>
        <rFont val="Calibri"/>
        <family val="2"/>
        <scheme val="minor"/>
      </rPr>
      <t>e/t CPO</t>
    </r>
  </si>
  <si>
    <r>
      <t>t CO</t>
    </r>
    <r>
      <rPr>
        <vertAlign val="subscript"/>
        <sz val="11"/>
        <color theme="1"/>
        <rFont val="Calibri"/>
        <family val="2"/>
        <scheme val="minor"/>
      </rPr>
      <t>2</t>
    </r>
    <r>
      <rPr>
        <sz val="11"/>
        <color theme="1"/>
        <rFont val="Calibri"/>
        <family val="2"/>
        <scheme val="minor"/>
      </rPr>
      <t>e/t PK</t>
    </r>
  </si>
  <si>
    <t>Previous land cover type</t>
  </si>
  <si>
    <t>Instructions: Key in the areas that are to be cleared for new plantings and the estimated carbon stock of the existing land cover. If the carbon stock was estimated by proxy using the defaults provided in the GHG Assessment Procedure, then you may select the list of defaults provided below. Howver, if field measurements were conducted, please define the land cover type and the corresponding carbon stock (fill in the yellow cells)</t>
  </si>
  <si>
    <t>Instructions: Key in the expected FFB yield for the new development</t>
  </si>
  <si>
    <t>Instructions: Key in the expected annual fuel usage including the transport of the FFB to the mill, transport of EFB and/or compost to the field, transport of workers and materials in the field, operation of machinery such as fertiliser spreaders, pumps and compost turners, and maintenance of infrastructure such as roads and drains, for the mill's own crop. Fuel use for land clearing activities (in preparation for new planting) is excluded.</t>
  </si>
  <si>
    <r>
      <t>If water table is not managed, CO</t>
    </r>
    <r>
      <rPr>
        <vertAlign val="subscript"/>
        <sz val="11"/>
        <rFont val="Calibri"/>
        <family val="2"/>
        <scheme val="minor"/>
      </rPr>
      <t>2</t>
    </r>
    <r>
      <rPr>
        <sz val="11"/>
        <rFont val="Calibri"/>
        <family val="2"/>
        <scheme val="minor"/>
      </rPr>
      <t xml:space="preserve"> emissions from peat tCO</t>
    </r>
    <r>
      <rPr>
        <vertAlign val="subscript"/>
        <sz val="11"/>
        <rFont val="Calibri"/>
        <family val="2"/>
        <scheme val="minor"/>
      </rPr>
      <t>2</t>
    </r>
    <r>
      <rPr>
        <sz val="11"/>
        <rFont val="Calibri"/>
        <family val="2"/>
        <scheme val="minor"/>
      </rPr>
      <t>/ha.yr</t>
    </r>
  </si>
  <si>
    <r>
      <t>If water table is partially managed, CO</t>
    </r>
    <r>
      <rPr>
        <vertAlign val="subscript"/>
        <sz val="11"/>
        <rFont val="Calibri"/>
        <family val="2"/>
        <scheme val="minor"/>
      </rPr>
      <t>2</t>
    </r>
    <r>
      <rPr>
        <sz val="11"/>
        <rFont val="Calibri"/>
        <family val="2"/>
        <scheme val="minor"/>
      </rPr>
      <t xml:space="preserve"> emissions from peat tCO</t>
    </r>
    <r>
      <rPr>
        <vertAlign val="subscript"/>
        <sz val="11"/>
        <rFont val="Calibri"/>
        <family val="2"/>
        <scheme val="minor"/>
      </rPr>
      <t>2</t>
    </r>
    <r>
      <rPr>
        <sz val="11"/>
        <rFont val="Calibri"/>
        <family val="2"/>
        <scheme val="minor"/>
      </rPr>
      <t>/ha.yr</t>
    </r>
  </si>
  <si>
    <r>
      <t>If water table is actively managed (good water management), CO</t>
    </r>
    <r>
      <rPr>
        <vertAlign val="subscript"/>
        <sz val="11"/>
        <rFont val="Calibri"/>
        <family val="2"/>
        <scheme val="minor"/>
      </rPr>
      <t xml:space="preserve">2 </t>
    </r>
    <r>
      <rPr>
        <sz val="11"/>
        <rFont val="Calibri"/>
        <family val="2"/>
        <scheme val="minor"/>
      </rPr>
      <t>emissions from peat tCO</t>
    </r>
    <r>
      <rPr>
        <vertAlign val="subscript"/>
        <sz val="11"/>
        <rFont val="Calibri"/>
        <family val="2"/>
        <scheme val="minor"/>
      </rPr>
      <t>2</t>
    </r>
    <r>
      <rPr>
        <sz val="11"/>
        <rFont val="Calibri"/>
        <family val="2"/>
        <scheme val="minor"/>
      </rPr>
      <t>/ha.yr</t>
    </r>
  </si>
  <si>
    <r>
      <t>Total CO</t>
    </r>
    <r>
      <rPr>
        <b/>
        <vertAlign val="subscript"/>
        <sz val="11"/>
        <color theme="1"/>
        <rFont val="Calibri"/>
        <family val="2"/>
        <scheme val="minor"/>
      </rPr>
      <t>2</t>
    </r>
    <r>
      <rPr>
        <b/>
        <sz val="11"/>
        <color theme="1"/>
        <rFont val="Calibri"/>
        <family val="2"/>
        <scheme val="minor"/>
      </rPr>
      <t xml:space="preserve"> emissions from peat tCO</t>
    </r>
    <r>
      <rPr>
        <b/>
        <vertAlign val="subscript"/>
        <sz val="11"/>
        <color theme="1"/>
        <rFont val="Calibri"/>
        <family val="2"/>
        <scheme val="minor"/>
      </rPr>
      <t>2</t>
    </r>
    <r>
      <rPr>
        <b/>
        <sz val="11"/>
        <color theme="1"/>
        <rFont val="Calibri"/>
        <family val="2"/>
        <scheme val="minor"/>
      </rPr>
      <t>/yr</t>
    </r>
  </si>
  <si>
    <t>If you know what is the fertiliser source for each nutrient, please write down "Y" in the box below the selected fertiliser. If the source is unknown, you may leave the cells blank. Beware to select only one source type per nutrient!</t>
  </si>
  <si>
    <r>
      <t>Instructions: If your new development will not include operations of a mill. You do not need to enter any data in this sheet. This sheet contains projected mill data, calculates CPO and PK production (t/yr), and estimates methane production from POME and fuel use in the mill</t>
    </r>
    <r>
      <rPr>
        <i/>
        <sz val="11"/>
        <rFont val="Calibri"/>
        <family val="2"/>
      </rPr>
      <t>. Provision is made for the capture of methane for flaring or the generation  of electricity, for the import of grid electricity, for the export of EFB and shell as sources of energy, for the export of surplus electricity produced.</t>
    </r>
  </si>
  <si>
    <r>
      <t>Fertiliser tCO</t>
    </r>
    <r>
      <rPr>
        <vertAlign val="subscript"/>
        <sz val="11"/>
        <color indexed="8"/>
        <rFont val="Calibri"/>
        <family val="2"/>
      </rPr>
      <t>2</t>
    </r>
    <r>
      <rPr>
        <sz val="11"/>
        <color indexed="8"/>
        <rFont val="Calibri"/>
        <family val="2"/>
      </rPr>
      <t>e/yr</t>
    </r>
  </si>
  <si>
    <r>
      <t>EFB and compost tCO</t>
    </r>
    <r>
      <rPr>
        <vertAlign val="subscript"/>
        <sz val="11"/>
        <color indexed="8"/>
        <rFont val="Calibri"/>
        <family val="2"/>
      </rPr>
      <t>2</t>
    </r>
    <r>
      <rPr>
        <sz val="11"/>
        <color indexed="8"/>
        <rFont val="Calibri"/>
        <family val="2"/>
      </rPr>
      <t>e/yr</t>
    </r>
  </si>
  <si>
    <t>Country</t>
  </si>
  <si>
    <t>Bolivia</t>
  </si>
  <si>
    <t>Brazil</t>
  </si>
  <si>
    <t>Cambodia</t>
  </si>
  <si>
    <t>Cameroon</t>
  </si>
  <si>
    <t>Colombia</t>
  </si>
  <si>
    <t>Congo</t>
  </si>
  <si>
    <t>Costa Rica</t>
  </si>
  <si>
    <t>Côte d'Ivoire</t>
  </si>
  <si>
    <t>Ecuador</t>
  </si>
  <si>
    <t>Gabon</t>
  </si>
  <si>
    <t>Ghana</t>
  </si>
  <si>
    <t>Guatemala</t>
  </si>
  <si>
    <t>Honduras</t>
  </si>
  <si>
    <t>India</t>
  </si>
  <si>
    <t>Indonesia</t>
  </si>
  <si>
    <t>Malaysia</t>
  </si>
  <si>
    <t>Nigeria</t>
  </si>
  <si>
    <t>Peru</t>
  </si>
  <si>
    <t>Thailand</t>
  </si>
  <si>
    <t>Emissions (kgCO2e/kWh)</t>
  </si>
  <si>
    <t xml:space="preserve">Factors derived from the "GHG emissions from purchased electricity" worksheet by GHG Protocol (last updated May 2015). Source information of this worksheet is from the IEA emission factors for 2012. </t>
  </si>
  <si>
    <r>
      <t>Electricity emission co-efficient, kg CO</t>
    </r>
    <r>
      <rPr>
        <vertAlign val="subscript"/>
        <sz val="11"/>
        <rFont val="Calibri"/>
        <family val="2"/>
        <scheme val="minor"/>
      </rPr>
      <t>2</t>
    </r>
    <r>
      <rPr>
        <sz val="11"/>
        <rFont val="Calibri"/>
        <family val="2"/>
        <scheme val="minor"/>
      </rPr>
      <t>e/kWh</t>
    </r>
  </si>
  <si>
    <t>Rubber</t>
  </si>
  <si>
    <t>Planted Area (ha)</t>
  </si>
  <si>
    <t>Total area (ha)</t>
  </si>
  <si>
    <t>% Land cleared for other use (compared against planted area)</t>
  </si>
  <si>
    <t>Total planted area, ha</t>
  </si>
  <si>
    <t>User defined 6</t>
  </si>
  <si>
    <t>User defined 7</t>
  </si>
  <si>
    <t>User defined 8</t>
  </si>
  <si>
    <t>User defined 9</t>
  </si>
  <si>
    <t>User defined 10</t>
  </si>
  <si>
    <t xml:space="preserve">% EFB converted to compost </t>
  </si>
  <si>
    <t>% EFB for other uses (e.g burn in boiler)</t>
  </si>
  <si>
    <t>% EFB sold for electricity generation</t>
  </si>
  <si>
    <t>Estate planted area ha</t>
  </si>
  <si>
    <t>EFB t/planted area ha</t>
  </si>
  <si>
    <t>app'd N in EFB kg/planted area ha</t>
  </si>
  <si>
    <r>
      <t>Direct N</t>
    </r>
    <r>
      <rPr>
        <vertAlign val="subscript"/>
        <sz val="11"/>
        <color indexed="8"/>
        <rFont val="Calibri"/>
        <family val="2"/>
      </rPr>
      <t>2</t>
    </r>
    <r>
      <rPr>
        <sz val="11"/>
        <color indexed="8"/>
        <rFont val="Calibri"/>
        <family val="2"/>
      </rPr>
      <t>O loss kg/planted area ha</t>
    </r>
  </si>
  <si>
    <r>
      <t>Indirect N</t>
    </r>
    <r>
      <rPr>
        <vertAlign val="subscript"/>
        <sz val="11"/>
        <color indexed="8"/>
        <rFont val="Calibri"/>
        <family val="2"/>
      </rPr>
      <t>2</t>
    </r>
    <r>
      <rPr>
        <sz val="11"/>
        <color indexed="8"/>
        <rFont val="Calibri"/>
        <family val="2"/>
      </rPr>
      <t>O loss kg/planted area ha</t>
    </r>
  </si>
  <si>
    <t>app'd N in compost kg/planted area ha</t>
  </si>
  <si>
    <t>User defined 2</t>
  </si>
  <si>
    <t>Field emissions &amp; sinks (Assumes average growth for oil palm - for use by smallholders)</t>
  </si>
  <si>
    <t>Field emissions &amp; sinks (Assumes vigorous growth for oil palm - for use by large scale operations)</t>
  </si>
  <si>
    <t xml:space="preserve">Summary of results </t>
  </si>
  <si>
    <t>Fertilisers &amp; N2O</t>
  </si>
  <si>
    <t>Instructions: Enter the composition of the compound fertiliser. An example is shown using a hyphothetical fertiliser, NPK 12.6.7. This sheet estimates the emissions associated with the manufacture of the fertiliser. Users can enter up to 10 types of compound fertilisers. Ignore this sheet if your fertilisers of choice is already readily available in the 'Fertiliser and N2O' sheet</t>
  </si>
  <si>
    <r>
      <t>Instruction: Key in the expected annual fertiliser use. This sheet estimates the total CO</t>
    </r>
    <r>
      <rPr>
        <i/>
        <vertAlign val="subscript"/>
        <sz val="11"/>
        <color theme="1"/>
        <rFont val="Calibri"/>
        <family val="2"/>
        <scheme val="minor"/>
      </rPr>
      <t>2</t>
    </r>
    <r>
      <rPr>
        <i/>
        <sz val="11"/>
        <color theme="1"/>
        <rFont val="Calibri"/>
        <family val="2"/>
        <scheme val="minor"/>
      </rPr>
      <t>e produced from the manufacture, transport and use of fertilisers based in type. It also estimates the N</t>
    </r>
    <r>
      <rPr>
        <i/>
        <vertAlign val="subscript"/>
        <sz val="11"/>
        <color theme="1"/>
        <rFont val="Calibri"/>
        <family val="2"/>
        <scheme val="minor"/>
      </rPr>
      <t>2</t>
    </r>
    <r>
      <rPr>
        <i/>
        <sz val="11"/>
        <color theme="1"/>
        <rFont val="Calibri"/>
        <family val="2"/>
        <scheme val="minor"/>
      </rPr>
      <t>O produced from the field application of fertilisers and from the field application of EFB, compost and POME. A list of straight fertilisers is already provided. For compound fertilisers, users need to first add them in the 'User defined fertiliser' sheet (see yellow cells). The emissions from manufacture of the compound fertilisers can be estimated using the 'User defined fertiliser' sheet. An example of how to do this is illustrated using a hypothetical fertiliser - NPK 12.6.7</t>
    </r>
  </si>
  <si>
    <t>Consumption l/tFFB processed</t>
  </si>
  <si>
    <t>Note: Please select appropriate value from the table based on country. Users can also use own value if more suitable. Please provide reference</t>
  </si>
  <si>
    <t>Compost applied, t/planted area ha</t>
  </si>
  <si>
    <t>Compost applied, t/yr</t>
  </si>
  <si>
    <t>POME t/planted  area ha</t>
  </si>
  <si>
    <t>app'd N in POME kg/planted area ha</t>
  </si>
  <si>
    <r>
      <t>Direct N</t>
    </r>
    <r>
      <rPr>
        <vertAlign val="subscript"/>
        <sz val="11"/>
        <color indexed="8"/>
        <rFont val="Calibri"/>
        <family val="2"/>
      </rPr>
      <t>2</t>
    </r>
    <r>
      <rPr>
        <sz val="11"/>
        <color theme="1"/>
        <rFont val="Calibri"/>
        <family val="2"/>
        <scheme val="minor"/>
      </rPr>
      <t>O loss kg/planted area ha</t>
    </r>
  </si>
  <si>
    <r>
      <t>Indirect N</t>
    </r>
    <r>
      <rPr>
        <vertAlign val="subscript"/>
        <sz val="11"/>
        <color indexed="8"/>
        <rFont val="Calibri"/>
        <family val="2"/>
      </rPr>
      <t>2</t>
    </r>
    <r>
      <rPr>
        <sz val="11"/>
        <color theme="1"/>
        <rFont val="Calibri"/>
        <family val="2"/>
        <scheme val="minor"/>
      </rPr>
      <t>O loss kg/planted area ha</t>
    </r>
  </si>
  <si>
    <r>
      <t>POME tCO</t>
    </r>
    <r>
      <rPr>
        <vertAlign val="subscript"/>
        <sz val="11"/>
        <color indexed="8"/>
        <rFont val="Calibri"/>
        <family val="2"/>
      </rPr>
      <t>2</t>
    </r>
    <r>
      <rPr>
        <sz val="11"/>
        <color indexed="8"/>
        <rFont val="Calibri"/>
        <family val="2"/>
      </rPr>
      <t>e/yr</t>
    </r>
  </si>
  <si>
    <r>
      <t>N</t>
    </r>
    <r>
      <rPr>
        <vertAlign val="subscript"/>
        <sz val="11"/>
        <color theme="1"/>
        <rFont val="Calibri"/>
        <family val="2"/>
        <scheme val="minor"/>
      </rPr>
      <t>2</t>
    </r>
    <r>
      <rPr>
        <sz val="11"/>
        <color theme="1"/>
        <rFont val="Calibri"/>
        <family val="2"/>
        <scheme val="minor"/>
      </rPr>
      <t>O emission from peat soils,  tCO2e/yr</t>
    </r>
  </si>
  <si>
    <r>
      <t>Total N</t>
    </r>
    <r>
      <rPr>
        <vertAlign val="subscript"/>
        <sz val="11"/>
        <color indexed="8"/>
        <rFont val="Calibri"/>
        <family val="2"/>
      </rPr>
      <t>2</t>
    </r>
    <r>
      <rPr>
        <sz val="11"/>
        <color indexed="8"/>
        <rFont val="Calibri"/>
        <family val="2"/>
      </rPr>
      <t>O, tCO2e/yr</t>
    </r>
  </si>
  <si>
    <t>INSTRUCTIONS FOR THE USE OF THE NEW DEVELOPMENT GHG CALCULATOR</t>
  </si>
  <si>
    <t xml:space="preserve">  </t>
  </si>
  <si>
    <r>
      <t xml:space="preserve">Note: The contents of the cells in the spreadsheets are colour coded as follows: 
</t>
    </r>
    <r>
      <rPr>
        <b/>
        <sz val="11"/>
        <color rgb="FFFF0000"/>
        <rFont val="Calibri"/>
        <family val="2"/>
        <scheme val="minor"/>
      </rPr>
      <t>Data Inputs - User Defined</t>
    </r>
    <r>
      <rPr>
        <b/>
        <sz val="11"/>
        <color theme="1"/>
        <rFont val="Calibri"/>
        <family val="2"/>
        <scheme val="minor"/>
      </rPr>
      <t xml:space="preserve">
</t>
    </r>
    <r>
      <rPr>
        <b/>
        <sz val="11"/>
        <color theme="5" tint="-0.249977111117893"/>
        <rFont val="Calibri"/>
        <family val="2"/>
        <scheme val="minor"/>
      </rPr>
      <t>Data Inputs - Default Values</t>
    </r>
    <r>
      <rPr>
        <b/>
        <sz val="11"/>
        <color theme="1"/>
        <rFont val="Calibri"/>
        <family val="2"/>
        <scheme val="minor"/>
      </rPr>
      <t xml:space="preserve">
</t>
    </r>
    <r>
      <rPr>
        <b/>
        <sz val="11"/>
        <color rgb="FF00B050"/>
        <rFont val="Calibri"/>
        <family val="2"/>
        <scheme val="minor"/>
      </rPr>
      <t>Links</t>
    </r>
    <r>
      <rPr>
        <b/>
        <sz val="11"/>
        <color theme="1"/>
        <rFont val="Calibri"/>
        <family val="2"/>
        <scheme val="minor"/>
      </rPr>
      <t xml:space="preserve">, </t>
    </r>
    <r>
      <rPr>
        <b/>
        <sz val="11"/>
        <color rgb="FF0070C0"/>
        <rFont val="Calibri"/>
        <family val="2"/>
        <scheme val="minor"/>
      </rPr>
      <t>Calculations</t>
    </r>
    <r>
      <rPr>
        <i/>
        <sz val="11"/>
        <color theme="1"/>
        <rFont val="Calibri"/>
        <family val="2"/>
        <scheme val="minor"/>
      </rPr>
      <t xml:space="preserve">
Some worksheets and individual cells are locked to prevent users from accidentally overwriting their contents.</t>
    </r>
  </si>
  <si>
    <r>
      <t xml:space="preserve">Henson I. E. (2005b). An assessment of changes in biomass carbon stocks in tree crops and forests in Malaysia. </t>
    </r>
    <r>
      <rPr>
        <i/>
        <sz val="11"/>
        <color theme="1"/>
        <rFont val="Calibri"/>
        <family val="2"/>
        <scheme val="minor"/>
      </rPr>
      <t>J. Tropical Forest Science, 17</t>
    </r>
    <r>
      <rPr>
        <sz val="11"/>
        <color theme="1"/>
        <rFont val="Calibri"/>
        <family val="2"/>
        <scheme val="minor"/>
      </rPr>
      <t>: 279-296.</t>
    </r>
  </si>
  <si>
    <t>tBiomass/ha.yr 
(25 yr avg)</t>
  </si>
  <si>
    <r>
      <rPr>
        <b/>
        <sz val="14"/>
        <color theme="3" tint="-0.249977111117893"/>
        <rFont val="Calibri"/>
        <family val="2"/>
        <scheme val="minor"/>
      </rPr>
      <t>Version: August 2016</t>
    </r>
    <r>
      <rPr>
        <b/>
        <sz val="14"/>
        <color theme="4"/>
        <rFont val="Calibri"/>
        <family val="2"/>
        <scheme val="minor"/>
      </rPr>
      <t xml:space="preserve">
</t>
    </r>
    <r>
      <rPr>
        <sz val="14"/>
        <color theme="1"/>
        <rFont val="Calibri"/>
        <family val="2"/>
        <scheme val="minor"/>
      </rPr>
      <t>Note: Previously, an excel spreadsheet, “Simplified PalmGHG for C7.8 Usage” was released for use together with the RSPO GHG Assessment Procedure for New Plantings – Version December 2014. This “New Development GHG Calculator – Version August 2016” supersedes it. 
This “New Development GHG Calculator” has been adapted to fit the requirements of the “RSPO GHG Assessment Procedure for New Plantings – Version August 2016”. The layout of the Calculator has also been adapted to simplify and clarify the data entry process for users.
RSPO would also appreciate being informed of any problems with using the Calculator, and would welcome these and any other comments so that they may be considered for subsequent versions of the Calculator. Comments should be sent to rspo@rspo.org.</t>
    </r>
  </si>
  <si>
    <r>
      <rPr>
        <sz val="12"/>
        <color theme="1"/>
        <rFont val="Calibri"/>
        <family val="2"/>
        <scheme val="minor"/>
      </rPr>
      <t xml:space="preserve">Fill in only the </t>
    </r>
    <r>
      <rPr>
        <sz val="12"/>
        <color rgb="FFFF0000"/>
        <rFont val="Calibri"/>
        <family val="2"/>
        <scheme val="minor"/>
      </rPr>
      <t>cells highlighted in yellow</t>
    </r>
    <r>
      <rPr>
        <sz val="12"/>
        <color theme="1"/>
        <rFont val="Calibri"/>
        <family val="2"/>
        <scheme val="minor"/>
      </rPr>
      <t xml:space="preserve"> in each sheet.</t>
    </r>
    <r>
      <rPr>
        <sz val="11"/>
        <color theme="1"/>
        <rFont val="Calibri"/>
        <family val="2"/>
        <scheme val="minor"/>
      </rPr>
      <t xml:space="preserve"> 
1.        Begin with the 'LUC emissions' sheet, and enter the area to be cleared and the corresponding carbon stocks (refer to your carbon stock assessment report) 
2.        Proceed to the 'FFB Production' sheet, and key in the expected FFB yield/ha
3.        Next, go to the ‘Field fuel’ sheet and key in the expected annual fuel use in the field.
4.        Continue on with the ‘Peat’ sheet. If you have indicated any peatland area to be cleared in the ‘LUC emissions’ sheet, you will need to indicate the expected water management in the drained
           drained peat in order to estimate emissions from peat oxidation. Skip this step if there is no development on peat.
5.        Are you using any compound fertilisers that are currently not available in the calculator? If yes, go to the ‘User defined fertiliser’ sheet and key in the relevant nutrient properties of your
           compound fertiliser. The sheet will estimate the material emissions (from manufacturing) of your fertiliser and the relevant data will be linked to the next sheet, ‘Fertiliser and N2O‘. 
           *If your fertiliser of choice is already available in the calculator, you can skip this step and proceed directly to ‘Fertiliser and N2O‘.
6.        In the ‘Fertiliser and N2O‘ sheet, key in the expected annual fertiliser usage in the field. Also provide distance estimates for the sea transport and road transport of your chosen fertilisers.
           Default sea transport is provided as 6000km if information is unavailable.
7.        If you have conservation areas to be set aside, you can estimate the annual sequestration rate in the ‘Conservation Area seq’ sheet.
8.        ‘Crop sequestration’ sheet provides data taken from OPRODSIM/OPCABSIM but averaged equally over 25 years. This may be changed if more suitable data are available. Any changes 
           must be identified and justified in GHG assessment report.
9.        Lastly, if your new development will include mill operations, please fill in the ‘Mill data’ sheet. You can skip this step if there is no mill (e.g smallholders and outgrowers).
10.      Go to the ‘Results summary’ sheet for your emission results.
*IMPORTANT NOTE: Default values are provided and listed in the ‘Default data’ sheet but users are encouraged to check that the data are appropriate for the mill and estate being evaluated. Changes can be made, but must be identified and justified in the GHG Assessment report.</t>
    </r>
  </si>
  <si>
    <t>1. Land Use Change Emissions</t>
  </si>
  <si>
    <t>2. FFB Production</t>
  </si>
  <si>
    <t>3. Field Fuel Use</t>
  </si>
  <si>
    <t xml:space="preserve">Instruction: This sheet picks up the areas of peat planted from the 'LUC emissions' sheet, and estimates the CO2 emissions from these soils as t CO2e/ha/yr, averaged over the whole area. Emissions due to peat cultivation are presently calculated using the following equation based on a review mostly of CO2 flux measurement (Hooijer et al., 2010)[10]: 
Peat CO2 emission (t CO2/ha/year) = 0.91 x cm drainage depth </t>
  </si>
  <si>
    <r>
      <t>4. Soil CO</t>
    </r>
    <r>
      <rPr>
        <b/>
        <u/>
        <vertAlign val="subscript"/>
        <sz val="26"/>
        <color theme="3" tint="-0.249977111117893"/>
        <rFont val="Calibri"/>
        <family val="2"/>
      </rPr>
      <t xml:space="preserve">2 </t>
    </r>
    <r>
      <rPr>
        <b/>
        <u/>
        <sz val="26"/>
        <color theme="3" tint="-0.249977111117893"/>
        <rFont val="Calibri"/>
        <family val="2"/>
      </rPr>
      <t>emissions (peat)</t>
    </r>
  </si>
  <si>
    <r>
      <t>Instructions:</t>
    </r>
    <r>
      <rPr>
        <i/>
        <sz val="11"/>
        <color rgb="FFFF0000"/>
        <rFont val="Calibri"/>
        <family val="2"/>
        <scheme val="minor"/>
      </rPr>
      <t xml:space="preserve"> </t>
    </r>
    <r>
      <rPr>
        <i/>
        <sz val="11"/>
        <rFont val="Calibri"/>
        <family val="2"/>
        <scheme val="minor"/>
      </rPr>
      <t xml:space="preserve">Key in the forested conservation set-aside in ha and key in the Mean Cseq to calculate the emissions sink of all forested conservation area (ha). RSPO default Cseq rate provided as below. You may use regional/national/local custom Cseq rate with references of such rate to be provided. 
*The oil palm concession may have areas that are suitable for oil palm, but have been specifically protected from clearing as Conservation Blocks. These areas could be used as a source of carbon sequestration. </t>
    </r>
  </si>
  <si>
    <t>Area of Forested Conservation (ha):</t>
  </si>
  <si>
    <r>
      <rPr>
        <b/>
        <sz val="11"/>
        <color theme="1"/>
        <rFont val="Calibri"/>
        <family val="2"/>
        <scheme val="minor"/>
      </rPr>
      <t>Guiding Text for the use of default Conservation Sequestration (Cseq) value:</t>
    </r>
    <r>
      <rPr>
        <sz val="11"/>
        <color theme="1"/>
        <rFont val="Calibri"/>
        <family val="2"/>
        <scheme val="minor"/>
      </rPr>
      <t xml:space="preserve">
Three regional default conservation sequestration values are given as following: i) </t>
    </r>
    <r>
      <rPr>
        <b/>
        <sz val="11"/>
        <color theme="1"/>
        <rFont val="Calibri"/>
        <family val="2"/>
        <scheme val="minor"/>
      </rPr>
      <t>Africa 2.41 tC/ha/yr</t>
    </r>
    <r>
      <rPr>
        <sz val="11"/>
        <color theme="1"/>
        <rFont val="Calibri"/>
        <family val="2"/>
        <scheme val="minor"/>
      </rPr>
      <t xml:space="preserve">; ii) </t>
    </r>
    <r>
      <rPr>
        <b/>
        <sz val="11"/>
        <color theme="1"/>
        <rFont val="Calibri"/>
        <family val="2"/>
        <scheme val="minor"/>
      </rPr>
      <t>SEA 2.5tC/ha/yr</t>
    </r>
    <r>
      <rPr>
        <sz val="11"/>
        <color theme="1"/>
        <rFont val="Calibri"/>
        <family val="2"/>
        <scheme val="minor"/>
      </rPr>
      <t xml:space="preserve">; and iii) </t>
    </r>
    <r>
      <rPr>
        <b/>
        <sz val="11"/>
        <color theme="1"/>
        <rFont val="Calibri"/>
        <family val="2"/>
        <scheme val="minor"/>
      </rPr>
      <t>South America 1.5 tC/ha/yr</t>
    </r>
    <r>
      <rPr>
        <sz val="11"/>
        <color theme="1"/>
        <rFont val="Calibri"/>
        <family val="2"/>
        <scheme val="minor"/>
      </rPr>
      <t>.  These defaults are derived from published literatures (refer to links). Three precautionary principles are adopted alongside with these default values:
a)      Lower sequestration values are recommended to avoid over accounting of sequestration from set aside areas yet provide incentive for growers to manage conservation set asides within concession.
b)      Regional default data only applicable for set asides that represent similar forest quality described in the literatures i.e. forest with post logging impacts and human activities. 
c)       As required by the NPP, growers shall present management and monitoring actions to maintain, manage or enhance such areas. Outcome of actual monitoring result shall be incorporated during reporting of C5.6.</t>
    </r>
  </si>
  <si>
    <t>Bush/Grassland</t>
  </si>
  <si>
    <t>Dryland Scrub</t>
  </si>
  <si>
    <t>Disturbed Dry Forest</t>
  </si>
  <si>
    <t>Y</t>
  </si>
  <si>
    <t>tCO2e/yr (including land cleared for other use)</t>
  </si>
  <si>
    <t>User defined 1</t>
  </si>
  <si>
    <t>Chave, J. (2015), High Carbon Stock + Consulting Study 4: Dynamic of carbon in disturbed tropical forests and plantations. High Carbon Stock (HCS) Science Study.</t>
  </si>
  <si>
    <t>Rutishauser, E., Hérault, B., Baraloto, C., Blanc, L., Descroix, L., Sotta, E.D., Ferreira, J., Kanashiro, M., Mazzei, L., d'Oliveira, M.V.N., de Oliveira, L.C., Peña-Claros, M., Putz, F.E., Ruschel, A.R., Rodney, K., Roopsind, A., Shenkin, A., da Silva, K.E., de Souza, C., Toledi, M., Vidal, E., West, T.A.P., Wortel, V. Sist, P.  (2015). Rapid tree carbon
stock recovery
in managed
Amazonian forests. Correspondence. Current Biology 25, R775–R792, September 21, 2015</t>
  </si>
  <si>
    <t xml:space="preserve">Gourlet-Fleury S, Mortier F, Fayolle A, Baya F, Oue´draogo D, Be´ne´det F, Picard N. 2013 Tropical forest recovery from logging: a 24 year silvicultural experiment from Central Africa. Phil Trans R Soc B 368: 20120302. http://dx.doi.org/10.1098/rstb.2012.0302 </t>
  </si>
  <si>
    <t>Proforest. (2010). Terrestrial carbon: emissions, sequestration and storage in tropical Africa. FPAN African Tropical Forests Review of the scientific literature and existing carbon projects</t>
  </si>
  <si>
    <t>Jindal, R., Swallow, B., and Kerr, J. (2008). Forestry-based carbon sequestration projects in Africa: Potential benefits and challenges. Natural Resources Forum 32 (2008): 116–130.</t>
  </si>
  <si>
    <t>OER</t>
  </si>
  <si>
    <t>RSPO-PRO-T04-003 V3.0 ENG</t>
  </si>
  <si>
    <r>
      <t xml:space="preserve">
The New Development GHG Calculator has been published as a supplementary tool for the RSPO GHG Assessment Procedure for New Plantings. Users may use this calculator to fulfill </t>
    </r>
    <r>
      <rPr>
        <sz val="14"/>
        <color rgb="FFFF3399"/>
        <rFont val="Calibri"/>
        <family val="2"/>
        <scheme val="minor"/>
      </rPr>
      <t>"Chapter 4"</t>
    </r>
    <r>
      <rPr>
        <sz val="14"/>
        <color theme="1"/>
        <rFont val="Calibri"/>
        <family val="2"/>
        <scheme val="minor"/>
      </rPr>
      <t xml:space="preserve"> in order to estimate the projected GHG emissions from new plantings and to also create different scenarios for emissions. The calculation parameters in this Excel calculator is similar to the RSPO PalmGHG Calculator but have been adapted for use as described by the GHG Assessment Procedure for New Plantings to meet the requirements of Criterion 7.10 of the RSPO P&amp;C 2018. This calculator is made freely available on RSPO's website. </t>
    </r>
  </si>
  <si>
    <r>
      <t>Note to users:</t>
    </r>
    <r>
      <rPr>
        <i/>
        <sz val="11"/>
        <color theme="1"/>
        <rFont val="Calibri"/>
        <family val="2"/>
        <scheme val="minor"/>
      </rPr>
      <t xml:space="preserve"> ‘Crop sequestration’ sheet provides data taken from OPRODSIM/OPCABSIM but instead of applying the original dynamic growth model (as was the case previously in PalmGHG and the simplified PalmGHG), the New Development GHG Calculator uses data from OPRODSIM/OPCABSIM and averaged them equally over 25 years.  The data here may be changed if users have more suitable oil palm growth data. Any changes must be identified and justified in GHG assessment report.</t>
    </r>
  </si>
  <si>
    <r>
      <rPr>
        <b/>
        <sz val="14"/>
        <color theme="1"/>
        <rFont val="Calibri"/>
        <family val="2"/>
        <scheme val="minor"/>
      </rPr>
      <t xml:space="preserve">Version: September 2021
</t>
    </r>
    <r>
      <rPr>
        <sz val="14"/>
        <color theme="1"/>
        <rFont val="Calibri"/>
        <family val="2"/>
        <scheme val="minor"/>
      </rPr>
      <t>Revised the indicators within introduction to align with RSPO P&amp;C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</si>
</sst>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0.000"/>
    <numFmt numFmtId="167" formatCode="#,##0.0"/>
    <numFmt numFmtId="168" formatCode="#,##0.000"/>
    <numFmt numFmtId="169" formatCode="0.0000"/>
    <numFmt numFmtId="170" formatCode="_-* #,##0.00_-;_-* #,##0.00\-;_-* &quot;-&quot;??_-;_-@_-"/>
    <numFmt numFmtId="171" formatCode="0.00000"/>
  </numFmts>
  <fonts count="75" x14ac:knownFonts="1">
    <font>
      <sz val="11"/>
      <color theme="1"/>
      <name val="Calibri"/>
      <family val="2"/>
      <scheme val="minor"/>
    </font>
    <font>
      <sz val="11"/>
      <color indexed="8"/>
      <name val="Calibri"/>
      <family val="2"/>
    </font>
    <font>
      <b/>
      <sz val="8"/>
      <color indexed="81"/>
      <name val="Tahoma"/>
      <family val="2"/>
    </font>
    <font>
      <b/>
      <sz val="10"/>
      <color indexed="81"/>
      <name val="Tahoma"/>
      <family val="2"/>
    </font>
    <font>
      <b/>
      <sz val="9"/>
      <color indexed="81"/>
      <name val="Tahoma"/>
      <family val="2"/>
    </font>
    <font>
      <vertAlign val="subscript"/>
      <sz val="11"/>
      <color indexed="8"/>
      <name val="Calibri"/>
      <family val="2"/>
    </font>
    <font>
      <sz val="11"/>
      <name val="Calibri"/>
      <family val="2"/>
    </font>
    <font>
      <b/>
      <sz val="11"/>
      <name val="Calibri"/>
      <family val="2"/>
    </font>
    <font>
      <b/>
      <vertAlign val="subscript"/>
      <sz val="11"/>
      <name val="Calibri"/>
      <family val="2"/>
    </font>
    <font>
      <vertAlign val="subscript"/>
      <sz val="11"/>
      <name val="Calibri"/>
      <family val="2"/>
    </font>
    <font>
      <i/>
      <sz val="11"/>
      <name val="Calibri"/>
      <family val="2"/>
    </font>
    <font>
      <b/>
      <sz val="18"/>
      <color indexed="56"/>
      <name val="Cambria"/>
      <family val="2"/>
    </font>
    <font>
      <sz val="10"/>
      <name val="Arial"/>
      <family val="2"/>
    </font>
    <font>
      <u/>
      <sz val="10"/>
      <color indexed="12"/>
      <name val="Arial"/>
      <family val="2"/>
    </font>
    <font>
      <sz val="10"/>
      <name val="Arial"/>
      <family val="2"/>
    </font>
    <font>
      <sz val="8"/>
      <color indexed="81"/>
      <name val="Tahoma"/>
      <family val="2"/>
    </font>
    <font>
      <sz val="9"/>
      <color indexed="81"/>
      <name val="Tahoma"/>
      <family val="2"/>
    </font>
    <font>
      <sz val="10"/>
      <name val="Arial"/>
      <family val="2"/>
    </font>
    <font>
      <b/>
      <sz val="11"/>
      <color theme="1"/>
      <name val="Calibri"/>
      <family val="2"/>
      <scheme val="minor"/>
    </font>
    <font>
      <sz val="11"/>
      <color rgb="FFFF0000"/>
      <name val="Calibri"/>
      <family val="2"/>
      <scheme val="minor"/>
    </font>
    <font>
      <b/>
      <sz val="11"/>
      <color theme="5" tint="-0.249977111117893"/>
      <name val="Calibri"/>
      <family val="2"/>
      <scheme val="minor"/>
    </font>
    <font>
      <sz val="11"/>
      <color rgb="FF0070C0"/>
      <name val="Calibri"/>
      <family val="2"/>
      <scheme val="minor"/>
    </font>
    <font>
      <b/>
      <sz val="11"/>
      <color rgb="FF00B050"/>
      <name val="Calibri"/>
      <family val="2"/>
      <scheme val="minor"/>
    </font>
    <font>
      <b/>
      <sz val="11"/>
      <color rgb="FF0070C0"/>
      <name val="Calibri"/>
      <family val="2"/>
      <scheme val="minor"/>
    </font>
    <font>
      <b/>
      <sz val="11"/>
      <color rgb="FFFF0000"/>
      <name val="Calibri"/>
      <family val="2"/>
      <scheme val="minor"/>
    </font>
    <font>
      <sz val="11"/>
      <name val="Calibri"/>
      <family val="2"/>
      <scheme val="minor"/>
    </font>
    <font>
      <i/>
      <sz val="11"/>
      <color theme="1"/>
      <name val="Calibri"/>
      <family val="2"/>
      <scheme val="minor"/>
    </font>
    <font>
      <b/>
      <sz val="11"/>
      <color rgb="FFC00000"/>
      <name val="Calibri"/>
      <family val="2"/>
      <scheme val="minor"/>
    </font>
    <font>
      <b/>
      <sz val="11"/>
      <name val="Calibri"/>
      <family val="2"/>
      <scheme val="minor"/>
    </font>
    <font>
      <b/>
      <i/>
      <sz val="11"/>
      <color theme="1"/>
      <name val="Calibri"/>
      <family val="2"/>
      <scheme val="minor"/>
    </font>
    <font>
      <i/>
      <u/>
      <sz val="11"/>
      <color theme="1"/>
      <name val="Calibri"/>
      <family val="2"/>
      <scheme val="minor"/>
    </font>
    <font>
      <sz val="11"/>
      <color indexed="14"/>
      <name val="Calibri"/>
      <family val="2"/>
      <scheme val="minor"/>
    </font>
    <font>
      <i/>
      <u/>
      <sz val="11"/>
      <color indexed="61"/>
      <name val="Calibri"/>
      <family val="2"/>
      <scheme val="minor"/>
    </font>
    <font>
      <i/>
      <sz val="11"/>
      <name val="Calibri"/>
      <family val="2"/>
      <scheme val="minor"/>
    </font>
    <font>
      <b/>
      <i/>
      <sz val="11"/>
      <name val="Calibri"/>
      <family val="2"/>
      <scheme val="minor"/>
    </font>
    <font>
      <i/>
      <u/>
      <sz val="11"/>
      <name val="Calibri"/>
      <family val="2"/>
      <scheme val="minor"/>
    </font>
    <font>
      <b/>
      <sz val="10"/>
      <color rgb="FFC00000"/>
      <name val="Arial"/>
      <family val="2"/>
    </font>
    <font>
      <b/>
      <i/>
      <sz val="11"/>
      <color rgb="FF00B050"/>
      <name val="Calibri"/>
      <family val="2"/>
      <scheme val="minor"/>
    </font>
    <font>
      <b/>
      <sz val="12"/>
      <color rgb="FFFF0000"/>
      <name val="Calibri"/>
      <family val="2"/>
      <scheme val="minor"/>
    </font>
    <font>
      <vertAlign val="subscript"/>
      <sz val="11"/>
      <color theme="1"/>
      <name val="Calibri"/>
      <family val="2"/>
      <scheme val="minor"/>
    </font>
    <font>
      <vertAlign val="subscript"/>
      <sz val="11"/>
      <name val="Calibri"/>
      <family val="2"/>
      <scheme val="minor"/>
    </font>
    <font>
      <b/>
      <sz val="11"/>
      <color indexed="81"/>
      <name val="Calibri"/>
      <family val="2"/>
      <scheme val="minor"/>
    </font>
    <font>
      <i/>
      <vertAlign val="subscript"/>
      <sz val="11"/>
      <color theme="1"/>
      <name val="Calibri"/>
      <family val="2"/>
      <scheme val="minor"/>
    </font>
    <font>
      <b/>
      <vertAlign val="subscript"/>
      <sz val="11"/>
      <color indexed="8"/>
      <name val="Calibri"/>
      <family val="2"/>
    </font>
    <font>
      <b/>
      <sz val="11"/>
      <color theme="1"/>
      <name val="Arial"/>
      <family val="2"/>
    </font>
    <font>
      <sz val="11"/>
      <color theme="1"/>
      <name val="Arial"/>
      <family val="2"/>
    </font>
    <font>
      <sz val="11"/>
      <color rgb="FFFF0000"/>
      <name val="Arial"/>
      <family val="2"/>
    </font>
    <font>
      <b/>
      <sz val="11"/>
      <color rgb="FFFFFF00"/>
      <name val="Calibri"/>
      <family val="2"/>
      <scheme val="minor"/>
    </font>
    <font>
      <b/>
      <sz val="11"/>
      <color theme="4"/>
      <name val="Calibri"/>
      <family val="2"/>
      <scheme val="minor"/>
    </font>
    <font>
      <b/>
      <sz val="8"/>
      <color indexed="81"/>
      <name val="Calibri"/>
      <family val="2"/>
      <scheme val="minor"/>
    </font>
    <font>
      <sz val="11"/>
      <color rgb="FF00B050"/>
      <name val="Calibri"/>
      <family val="2"/>
      <scheme val="minor"/>
    </font>
    <font>
      <b/>
      <sz val="11"/>
      <color theme="3"/>
      <name val="Calibri"/>
      <family val="2"/>
      <scheme val="minor"/>
    </font>
    <font>
      <sz val="11"/>
      <color theme="0"/>
      <name val="Calibri"/>
      <family val="2"/>
      <scheme val="minor"/>
    </font>
    <font>
      <b/>
      <vertAlign val="subscript"/>
      <sz val="11"/>
      <color theme="1"/>
      <name val="Calibri"/>
      <family val="2"/>
      <scheme val="minor"/>
    </font>
    <font>
      <b/>
      <sz val="11"/>
      <name val="Arial"/>
      <family val="2"/>
    </font>
    <font>
      <i/>
      <sz val="11"/>
      <color rgb="FFFF0000"/>
      <name val="Calibri"/>
      <family val="2"/>
      <scheme val="minor"/>
    </font>
    <font>
      <sz val="12"/>
      <color theme="1"/>
      <name val="Calibri"/>
      <family val="2"/>
      <scheme val="minor"/>
    </font>
    <font>
      <b/>
      <u/>
      <sz val="26"/>
      <color theme="4"/>
      <name val="Calibri"/>
      <family val="2"/>
      <scheme val="minor"/>
    </font>
    <font>
      <sz val="14"/>
      <color theme="1"/>
      <name val="Calibri"/>
      <family val="2"/>
      <scheme val="minor"/>
    </font>
    <font>
      <sz val="14"/>
      <color rgb="FFFF3399"/>
      <name val="Calibri"/>
      <family val="2"/>
      <scheme val="minor"/>
    </font>
    <font>
      <b/>
      <sz val="14"/>
      <color theme="4"/>
      <name val="Calibri"/>
      <family val="2"/>
      <scheme val="minor"/>
    </font>
    <font>
      <u/>
      <sz val="11"/>
      <color theme="1"/>
      <name val="Calibri"/>
      <family val="2"/>
      <scheme val="minor"/>
    </font>
    <font>
      <sz val="12"/>
      <color rgb="FFFF0000"/>
      <name val="Calibri"/>
      <family val="2"/>
      <scheme val="minor"/>
    </font>
    <font>
      <sz val="10"/>
      <color theme="1"/>
      <name val="Calibri"/>
      <family val="2"/>
      <scheme val="minor"/>
    </font>
    <font>
      <sz val="14"/>
      <name val="Calibri"/>
      <family val="2"/>
      <scheme val="minor"/>
    </font>
    <font>
      <sz val="11"/>
      <color theme="0" tint="-0.34998626667073579"/>
      <name val="Calibri"/>
      <family val="2"/>
      <scheme val="minor"/>
    </font>
    <font>
      <b/>
      <u/>
      <sz val="26"/>
      <color theme="3" tint="-0.249977111117893"/>
      <name val="Calibri"/>
      <family val="2"/>
      <scheme val="minor"/>
    </font>
    <font>
      <b/>
      <sz val="14"/>
      <color theme="3" tint="-0.249977111117893"/>
      <name val="Calibri"/>
      <family val="2"/>
      <scheme val="minor"/>
    </font>
    <font>
      <b/>
      <u/>
      <sz val="24"/>
      <color theme="3" tint="-0.249977111117893"/>
      <name val="Calibri"/>
      <family val="2"/>
      <scheme val="minor"/>
    </font>
    <font>
      <b/>
      <u/>
      <vertAlign val="subscript"/>
      <sz val="26"/>
      <color theme="3" tint="-0.249977111117893"/>
      <name val="Calibri"/>
      <family val="2"/>
    </font>
    <font>
      <b/>
      <u/>
      <sz val="26"/>
      <color theme="3" tint="-0.249977111117893"/>
      <name val="Calibri"/>
      <family val="2"/>
    </font>
    <font>
      <u/>
      <sz val="11"/>
      <color theme="10"/>
      <name val="Calibri"/>
      <family val="2"/>
      <scheme val="minor"/>
    </font>
    <font>
      <sz val="10"/>
      <color rgb="FF000000"/>
      <name val="Arial"/>
      <family val="2"/>
    </font>
    <font>
      <sz val="11"/>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0.34998626667073579"/>
        <bgColor indexed="64"/>
      </patternFill>
    </fill>
  </fills>
  <borders count="49">
    <border>
      <left/>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thin">
        <color auto="1"/>
      </left>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style="thin">
        <color indexed="64"/>
      </right>
      <top style="thin">
        <color indexed="64"/>
      </top>
      <bottom style="medium">
        <color rgb="FFC00000"/>
      </bottom>
      <diagonal/>
    </border>
    <border>
      <left style="thin">
        <color auto="1"/>
      </left>
      <right/>
      <top style="thin">
        <color indexed="64"/>
      </top>
      <bottom style="medium">
        <color rgb="FFC00000"/>
      </bottom>
      <diagonal/>
    </border>
    <border>
      <left style="thin">
        <color indexed="64"/>
      </left>
      <right style="medium">
        <color rgb="FFC00000"/>
      </right>
      <top style="thin">
        <color indexed="64"/>
      </top>
      <bottom style="medium">
        <color rgb="FFC00000"/>
      </bottom>
      <diagonal/>
    </border>
    <border>
      <left style="thick">
        <color theme="3" tint="-0.24994659260841701"/>
      </left>
      <right style="thick">
        <color theme="3" tint="-0.24994659260841701"/>
      </right>
      <top style="thick">
        <color theme="3" tint="-0.24994659260841701"/>
      </top>
      <bottom style="thick">
        <color theme="3" tint="-0.2499465926084170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theme="3" tint="-0.24994659260841701"/>
      </left>
      <right style="thick">
        <color theme="3" tint="-0.24994659260841701"/>
      </right>
      <top/>
      <bottom style="thick">
        <color theme="3" tint="-0.24994659260841701"/>
      </bottom>
      <diagonal/>
    </border>
  </borders>
  <cellStyleXfs count="14">
    <xf numFmtId="0" fontId="0" fillId="0" borderId="0"/>
    <xf numFmtId="170" fontId="12" fillId="0" borderId="0" applyFont="0" applyFill="0" applyBorder="0" applyAlignment="0" applyProtection="0"/>
    <xf numFmtId="170" fontId="14" fillId="0" borderId="0" applyFont="0" applyFill="0" applyBorder="0" applyAlignment="0" applyProtection="0"/>
    <xf numFmtId="0" fontId="13" fillId="0" borderId="0" applyNumberFormat="0" applyFill="0" applyBorder="0" applyAlignment="0" applyProtection="0">
      <alignment vertical="top"/>
      <protection locked="0"/>
    </xf>
    <xf numFmtId="0" fontId="12" fillId="0" borderId="0"/>
    <xf numFmtId="0" fontId="14" fillId="0" borderId="0"/>
    <xf numFmtId="0" fontId="17" fillId="0" borderId="0"/>
    <xf numFmtId="9" fontId="12"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0" fontId="11" fillId="0" borderId="0" applyNumberFormat="0" applyFill="0" applyBorder="0" applyAlignment="0" applyProtection="0"/>
    <xf numFmtId="0" fontId="71" fillId="0" borderId="0" applyNumberFormat="0" applyFill="0" applyBorder="0" applyAlignment="0" applyProtection="0"/>
    <xf numFmtId="164" fontId="73" fillId="0" borderId="0" applyFont="0" applyFill="0" applyBorder="0" applyAlignment="0" applyProtection="0"/>
    <xf numFmtId="9" fontId="73" fillId="0" borderId="0" applyFont="0" applyFill="0" applyBorder="0" applyAlignment="0" applyProtection="0"/>
  </cellStyleXfs>
  <cellXfs count="474">
    <xf numFmtId="0" fontId="0" fillId="0" borderId="0" xfId="0"/>
    <xf numFmtId="1" fontId="23" fillId="0" borderId="0" xfId="0" applyNumberFormat="1" applyFont="1"/>
    <xf numFmtId="165" fontId="23" fillId="0" borderId="0" xfId="0" applyNumberFormat="1" applyFont="1"/>
    <xf numFmtId="2" fontId="23" fillId="0" borderId="0" xfId="0" applyNumberFormat="1" applyFont="1"/>
    <xf numFmtId="165" fontId="22" fillId="0" borderId="0" xfId="0" applyNumberFormat="1" applyFont="1"/>
    <xf numFmtId="0" fontId="25" fillId="0" borderId="0" xfId="0" applyFont="1" applyAlignment="1">
      <alignment wrapText="1"/>
    </xf>
    <xf numFmtId="0" fontId="27" fillId="0" borderId="0" xfId="0" applyFont="1"/>
    <xf numFmtId="0" fontId="18" fillId="0" borderId="0" xfId="0" applyFont="1"/>
    <xf numFmtId="0" fontId="18" fillId="0" borderId="0" xfId="0" applyFont="1" applyFill="1"/>
    <xf numFmtId="0" fontId="22" fillId="0" borderId="0" xfId="0" applyFont="1"/>
    <xf numFmtId="0" fontId="25" fillId="0" borderId="0" xfId="0" applyFont="1"/>
    <xf numFmtId="0" fontId="0" fillId="0" borderId="0" xfId="0" applyFont="1"/>
    <xf numFmtId="0" fontId="28" fillId="0" borderId="0" xfId="0" applyFont="1" applyAlignment="1">
      <alignment wrapText="1"/>
    </xf>
    <xf numFmtId="0" fontId="0" fillId="0" borderId="0" xfId="0" applyFont="1" applyAlignment="1">
      <alignment wrapText="1"/>
    </xf>
    <xf numFmtId="0" fontId="25" fillId="0" borderId="0" xfId="0" applyFont="1" applyFill="1" applyBorder="1" applyAlignment="1">
      <alignment wrapText="1"/>
    </xf>
    <xf numFmtId="169" fontId="27" fillId="0" borderId="0" xfId="0" applyNumberFormat="1" applyFont="1" applyAlignment="1">
      <alignment horizontal="right" wrapText="1"/>
    </xf>
    <xf numFmtId="2" fontId="23" fillId="0" borderId="0" xfId="0" applyNumberFormat="1" applyFont="1" applyFill="1" applyBorder="1" applyAlignment="1">
      <alignment wrapText="1"/>
    </xf>
    <xf numFmtId="0" fontId="28" fillId="0" borderId="0" xfId="0" applyFont="1" applyFill="1" applyBorder="1" applyAlignment="1">
      <alignment wrapText="1"/>
    </xf>
    <xf numFmtId="0" fontId="0" fillId="0" borderId="0" xfId="0" applyFont="1" applyAlignment="1">
      <alignment horizontal="right"/>
    </xf>
    <xf numFmtId="0" fontId="0" fillId="0" borderId="0" xfId="0" applyFont="1" applyAlignment="1">
      <alignment horizontal="right" wrapText="1"/>
    </xf>
    <xf numFmtId="0" fontId="0" fillId="0" borderId="0" xfId="0" applyFont="1" applyAlignment="1">
      <alignment horizontal="left"/>
    </xf>
    <xf numFmtId="2" fontId="22" fillId="0" borderId="0" xfId="0" applyNumberFormat="1" applyFont="1"/>
    <xf numFmtId="0" fontId="26" fillId="0" borderId="0" xfId="0" applyFont="1"/>
    <xf numFmtId="0" fontId="0" fillId="0" borderId="0" xfId="0" applyFont="1" applyAlignment="1"/>
    <xf numFmtId="0" fontId="18" fillId="0" borderId="0" xfId="0" applyFont="1" applyAlignment="1">
      <alignment horizontal="left"/>
    </xf>
    <xf numFmtId="0" fontId="28" fillId="0" borderId="0" xfId="0" applyFont="1" applyBorder="1" applyAlignment="1"/>
    <xf numFmtId="0" fontId="25" fillId="0" borderId="0" xfId="0" applyFont="1" applyBorder="1" applyAlignment="1"/>
    <xf numFmtId="0" fontId="33" fillId="0" borderId="0" xfId="0" applyFont="1" applyBorder="1" applyAlignment="1"/>
    <xf numFmtId="165" fontId="22" fillId="0" borderId="0" xfId="0" applyNumberFormat="1" applyFont="1" applyAlignment="1">
      <alignment horizontal="right"/>
    </xf>
    <xf numFmtId="165" fontId="23" fillId="0" borderId="0" xfId="0" applyNumberFormat="1" applyFont="1" applyAlignment="1">
      <alignment horizontal="right"/>
    </xf>
    <xf numFmtId="3" fontId="23" fillId="0" borderId="0" xfId="0" applyNumberFormat="1" applyFont="1"/>
    <xf numFmtId="4" fontId="23" fillId="0" borderId="0" xfId="0" applyNumberFormat="1" applyFont="1"/>
    <xf numFmtId="168" fontId="27" fillId="0" borderId="0" xfId="0" applyNumberFormat="1" applyFont="1"/>
    <xf numFmtId="0" fontId="26" fillId="0" borderId="0" xfId="0" applyFont="1" applyFill="1"/>
    <xf numFmtId="0" fontId="26" fillId="0" borderId="0" xfId="0" applyFont="1" applyFill="1" applyAlignment="1">
      <alignment horizontal="center"/>
    </xf>
    <xf numFmtId="0" fontId="0" fillId="0" borderId="0" xfId="0" applyAlignment="1">
      <alignment wrapText="1"/>
    </xf>
    <xf numFmtId="0" fontId="0" fillId="0" borderId="0" xfId="0" applyAlignment="1">
      <alignment horizontal="right"/>
    </xf>
    <xf numFmtId="0" fontId="0" fillId="0" borderId="0" xfId="0" applyAlignment="1">
      <alignment horizontal="right" wrapText="1"/>
    </xf>
    <xf numFmtId="0" fontId="0" fillId="0" borderId="1" xfId="0" applyBorder="1" applyAlignment="1">
      <alignment horizontal="left" vertical="center" wrapText="1"/>
    </xf>
    <xf numFmtId="0" fontId="34" fillId="0" borderId="0" xfId="0" applyFont="1" applyBorder="1" applyAlignment="1"/>
    <xf numFmtId="0" fontId="0" fillId="0" borderId="0" xfId="0" applyAlignment="1">
      <alignment vertical="top" wrapText="1"/>
    </xf>
    <xf numFmtId="0" fontId="24" fillId="2" borderId="0" xfId="0" applyFont="1" applyFill="1" applyProtection="1">
      <protection locked="0"/>
    </xf>
    <xf numFmtId="0" fontId="0" fillId="0" borderId="0" xfId="0" applyFont="1" applyProtection="1">
      <protection locked="0"/>
    </xf>
    <xf numFmtId="0" fontId="0" fillId="0" borderId="0" xfId="0" applyFont="1" applyFill="1" applyProtection="1">
      <protection locked="0"/>
    </xf>
    <xf numFmtId="0" fontId="24" fillId="0" borderId="0" xfId="0" applyFont="1" applyFill="1" applyProtection="1">
      <protection locked="0"/>
    </xf>
    <xf numFmtId="1" fontId="24" fillId="2" borderId="0" xfId="0" applyNumberFormat="1" applyFont="1" applyFill="1" applyAlignment="1" applyProtection="1">
      <alignment wrapText="1"/>
      <protection locked="0"/>
    </xf>
    <xf numFmtId="3" fontId="24" fillId="0" borderId="0" xfId="0" applyNumberFormat="1" applyFont="1" applyFill="1" applyProtection="1">
      <protection locked="0"/>
    </xf>
    <xf numFmtId="1" fontId="27" fillId="0" borderId="0" xfId="0" applyNumberFormat="1" applyFont="1" applyFill="1" applyBorder="1" applyAlignment="1" applyProtection="1">
      <alignment wrapText="1"/>
      <protection locked="0"/>
    </xf>
    <xf numFmtId="166" fontId="27" fillId="0" borderId="0" xfId="0" applyNumberFormat="1" applyFont="1" applyAlignment="1" applyProtection="1">
      <alignment horizontal="right" wrapText="1"/>
      <protection locked="0"/>
    </xf>
    <xf numFmtId="169" fontId="27" fillId="0" borderId="0" xfId="0" applyNumberFormat="1" applyFont="1" applyAlignment="1" applyProtection="1">
      <alignment horizontal="right" wrapText="1"/>
      <protection locked="0"/>
    </xf>
    <xf numFmtId="165" fontId="27" fillId="0" borderId="0" xfId="0" applyNumberFormat="1" applyFont="1" applyAlignment="1" applyProtection="1">
      <alignment horizontal="right" wrapText="1"/>
      <protection locked="0"/>
    </xf>
    <xf numFmtId="0" fontId="27" fillId="0" borderId="0" xfId="0" applyFont="1" applyProtection="1">
      <protection locked="0"/>
    </xf>
    <xf numFmtId="167" fontId="27" fillId="0" borderId="0" xfId="0" applyNumberFormat="1" applyFont="1" applyProtection="1">
      <protection locked="0"/>
    </xf>
    <xf numFmtId="3" fontId="27" fillId="0" borderId="0" xfId="0" applyNumberFormat="1" applyFont="1" applyProtection="1">
      <protection locked="0"/>
    </xf>
    <xf numFmtId="168" fontId="27" fillId="0" borderId="0" xfId="0" applyNumberFormat="1" applyFont="1" applyProtection="1">
      <protection locked="0"/>
    </xf>
    <xf numFmtId="0" fontId="36" fillId="0" borderId="0" xfId="0" applyFont="1" applyProtection="1">
      <protection locked="0"/>
    </xf>
    <xf numFmtId="0" fontId="45" fillId="0" borderId="0" xfId="0" applyFont="1" applyAlignment="1">
      <alignment horizontal="left" vertical="top"/>
    </xf>
    <xf numFmtId="0" fontId="46" fillId="0" borderId="0" xfId="0" applyFont="1" applyAlignment="1">
      <alignment horizontal="left" vertical="top"/>
    </xf>
    <xf numFmtId="0" fontId="0" fillId="0" borderId="0" xfId="0" applyFont="1" applyAlignment="1">
      <alignment horizontal="left" vertical="top"/>
    </xf>
    <xf numFmtId="0" fontId="18" fillId="0" borderId="0" xfId="0" applyFont="1" applyFill="1" applyProtection="1">
      <protection locked="0"/>
    </xf>
    <xf numFmtId="0" fontId="26" fillId="0" borderId="0" xfId="0" applyFont="1" applyAlignment="1">
      <alignment wrapText="1"/>
    </xf>
    <xf numFmtId="4" fontId="22" fillId="0" borderId="0" xfId="0" applyNumberFormat="1" applyFont="1"/>
    <xf numFmtId="0" fontId="0" fillId="0" borderId="0" xfId="0" applyFont="1" applyProtection="1"/>
    <xf numFmtId="2" fontId="22" fillId="0" borderId="0" xfId="0" applyNumberFormat="1" applyFont="1" applyProtection="1"/>
    <xf numFmtId="165" fontId="23" fillId="0" borderId="0" xfId="0" applyNumberFormat="1" applyFont="1" applyProtection="1"/>
    <xf numFmtId="0" fontId="20" fillId="0" borderId="0" xfId="0" applyFont="1" applyProtection="1"/>
    <xf numFmtId="0" fontId="0" fillId="0" borderId="0" xfId="0" applyProtection="1"/>
    <xf numFmtId="0" fontId="22" fillId="0" borderId="0" xfId="0" applyFont="1" applyProtection="1"/>
    <xf numFmtId="2" fontId="23" fillId="0" borderId="0" xfId="0" applyNumberFormat="1" applyFont="1" applyProtection="1"/>
    <xf numFmtId="0" fontId="0" fillId="0" borderId="0" xfId="0" applyFont="1" applyAlignment="1" applyProtection="1">
      <alignment horizontal="right"/>
    </xf>
    <xf numFmtId="0" fontId="18" fillId="0" borderId="0" xfId="0" applyFont="1" applyProtection="1"/>
    <xf numFmtId="0" fontId="26" fillId="0" borderId="0" xfId="0" applyFont="1" applyProtection="1"/>
    <xf numFmtId="0" fontId="28" fillId="0" borderId="0" xfId="0" applyFont="1" applyAlignment="1" applyProtection="1">
      <alignment wrapText="1"/>
    </xf>
    <xf numFmtId="0" fontId="0" fillId="0" borderId="0" xfId="0" applyFont="1" applyAlignment="1" applyProtection="1">
      <alignment wrapText="1"/>
    </xf>
    <xf numFmtId="0" fontId="25" fillId="0" borderId="0" xfId="0" applyFont="1" applyFill="1" applyBorder="1" applyAlignment="1" applyProtection="1">
      <alignment wrapText="1"/>
    </xf>
    <xf numFmtId="2" fontId="22" fillId="0" borderId="0" xfId="0" applyNumberFormat="1" applyFont="1" applyFill="1" applyBorder="1" applyAlignment="1" applyProtection="1">
      <alignment wrapText="1"/>
    </xf>
    <xf numFmtId="0" fontId="0" fillId="0" borderId="0" xfId="0" applyFont="1" applyFill="1" applyProtection="1"/>
    <xf numFmtId="0" fontId="28" fillId="0" borderId="0" xfId="0" applyFont="1" applyProtection="1"/>
    <xf numFmtId="0" fontId="19" fillId="0" borderId="0" xfId="0" applyFont="1" applyProtection="1"/>
    <xf numFmtId="3" fontId="22" fillId="0" borderId="0" xfId="0" applyNumberFormat="1" applyFont="1" applyFill="1" applyBorder="1" applyAlignment="1" applyProtection="1">
      <alignment wrapText="1"/>
    </xf>
    <xf numFmtId="0" fontId="32" fillId="0" borderId="0" xfId="0" applyFont="1" applyAlignment="1" applyProtection="1">
      <alignment wrapText="1"/>
    </xf>
    <xf numFmtId="0" fontId="0" fillId="0" borderId="0" xfId="0" applyFont="1" applyAlignment="1" applyProtection="1">
      <alignment horizontal="right" wrapText="1"/>
    </xf>
    <xf numFmtId="3" fontId="23" fillId="0" borderId="0" xfId="0" applyNumberFormat="1" applyFont="1" applyProtection="1"/>
    <xf numFmtId="0" fontId="25" fillId="0" borderId="0" xfId="0" applyFont="1" applyFill="1" applyBorder="1" applyAlignment="1" applyProtection="1">
      <alignment horizontal="right"/>
    </xf>
    <xf numFmtId="165" fontId="21" fillId="0" borderId="0" xfId="0" applyNumberFormat="1" applyFont="1" applyProtection="1"/>
    <xf numFmtId="2" fontId="21" fillId="0" borderId="0" xfId="0" applyNumberFormat="1" applyFont="1" applyProtection="1"/>
    <xf numFmtId="0" fontId="0" fillId="0" borderId="0" xfId="0" applyFont="1" applyFill="1" applyBorder="1" applyAlignment="1" applyProtection="1">
      <alignment horizontal="right"/>
    </xf>
    <xf numFmtId="1" fontId="22" fillId="0" borderId="0" xfId="0" applyNumberFormat="1" applyFont="1" applyProtection="1"/>
    <xf numFmtId="0" fontId="25" fillId="0" borderId="0" xfId="0" applyFont="1" applyProtection="1"/>
    <xf numFmtId="0" fontId="0" fillId="0" borderId="0" xfId="0" applyFill="1" applyProtection="1"/>
    <xf numFmtId="0" fontId="24" fillId="0" borderId="0" xfId="0" applyFont="1" applyFill="1" applyAlignment="1" applyProtection="1">
      <alignment horizontal="right"/>
    </xf>
    <xf numFmtId="1" fontId="31" fillId="0" borderId="0" xfId="0" applyNumberFormat="1" applyFont="1" applyAlignment="1" applyProtection="1">
      <alignment wrapText="1"/>
    </xf>
    <xf numFmtId="0" fontId="0" fillId="0" borderId="0" xfId="0" applyFont="1" applyFill="1" applyAlignment="1" applyProtection="1">
      <alignment horizontal="right"/>
    </xf>
    <xf numFmtId="2" fontId="23" fillId="0" borderId="0" xfId="0" applyNumberFormat="1" applyFont="1" applyFill="1" applyProtection="1"/>
    <xf numFmtId="167" fontId="23" fillId="0" borderId="0" xfId="0" applyNumberFormat="1" applyFont="1" applyFill="1" applyProtection="1"/>
    <xf numFmtId="0" fontId="0" fillId="0" borderId="0" xfId="0" applyFont="1" applyAlignment="1" applyProtection="1">
      <alignment horizontal="right"/>
      <protection locked="0"/>
    </xf>
    <xf numFmtId="167" fontId="23" fillId="0" borderId="0" xfId="0" applyNumberFormat="1" applyFont="1" applyFill="1" applyProtection="1">
      <protection locked="0"/>
    </xf>
    <xf numFmtId="3" fontId="23" fillId="0" borderId="0" xfId="0" applyNumberFormat="1" applyFont="1" applyFill="1" applyProtection="1">
      <protection locked="0"/>
    </xf>
    <xf numFmtId="0" fontId="37" fillId="0" borderId="0" xfId="0" applyFont="1" applyProtection="1">
      <protection locked="0"/>
    </xf>
    <xf numFmtId="0" fontId="0" fillId="0" borderId="0" xfId="0" applyBorder="1" applyAlignment="1"/>
    <xf numFmtId="0" fontId="28" fillId="0" borderId="0" xfId="0" applyFont="1" applyFill="1" applyProtection="1"/>
    <xf numFmtId="0" fontId="25" fillId="0" borderId="0" xfId="0" applyFont="1" applyFill="1" applyAlignment="1" applyProtection="1">
      <alignment wrapText="1"/>
    </xf>
    <xf numFmtId="0" fontId="20" fillId="0" borderId="0" xfId="0" applyFont="1" applyFill="1" applyProtection="1"/>
    <xf numFmtId="0" fontId="33" fillId="0" borderId="0" xfId="0" applyFont="1" applyFill="1" applyProtection="1"/>
    <xf numFmtId="0" fontId="0" fillId="0" borderId="0" xfId="0" applyFont="1" applyFill="1" applyAlignment="1" applyProtection="1">
      <alignment vertical="top" wrapText="1"/>
    </xf>
    <xf numFmtId="0" fontId="23" fillId="0" borderId="0" xfId="0" applyFont="1" applyFill="1" applyProtection="1"/>
    <xf numFmtId="2" fontId="22" fillId="0" borderId="0" xfId="0" applyNumberFormat="1" applyFont="1" applyFill="1" applyProtection="1"/>
    <xf numFmtId="165" fontId="23" fillId="0" borderId="0" xfId="0" applyNumberFormat="1" applyFont="1" applyFill="1" applyProtection="1"/>
    <xf numFmtId="0" fontId="22" fillId="0" borderId="0" xfId="0" applyFont="1" applyFill="1" applyProtection="1"/>
    <xf numFmtId="1" fontId="23" fillId="0" borderId="0" xfId="0" applyNumberFormat="1" applyFont="1" applyFill="1" applyProtection="1"/>
    <xf numFmtId="0" fontId="0" fillId="0" borderId="0" xfId="0" applyFill="1" applyAlignment="1" applyProtection="1">
      <alignment horizontal="right"/>
    </xf>
    <xf numFmtId="3" fontId="23" fillId="0" borderId="0" xfId="0" applyNumberFormat="1" applyFont="1" applyFill="1" applyAlignment="1" applyProtection="1">
      <alignment horizontal="right"/>
    </xf>
    <xf numFmtId="1" fontId="22" fillId="0" borderId="0" xfId="0" applyNumberFormat="1" applyFont="1" applyFill="1" applyBorder="1" applyProtection="1"/>
    <xf numFmtId="0" fontId="18" fillId="0" borderId="0" xfId="0" applyFont="1" applyFill="1" applyProtection="1"/>
    <xf numFmtId="2" fontId="21" fillId="0" borderId="0" xfId="0" applyNumberFormat="1" applyFont="1" applyFill="1" applyProtection="1"/>
    <xf numFmtId="0" fontId="0" fillId="0" borderId="0" xfId="0" applyFont="1" applyFill="1" applyAlignment="1" applyProtection="1">
      <alignment horizontal="left" wrapText="1"/>
    </xf>
    <xf numFmtId="0" fontId="25" fillId="0" borderId="0" xfId="0" applyFont="1" applyFill="1" applyProtection="1"/>
    <xf numFmtId="0" fontId="22" fillId="0" borderId="0" xfId="0" applyFont="1" applyFill="1" applyBorder="1" applyAlignment="1" applyProtection="1">
      <alignment horizontal="right"/>
    </xf>
    <xf numFmtId="3" fontId="22" fillId="0" borderId="0" xfId="0" applyNumberFormat="1" applyFont="1" applyFill="1" applyProtection="1"/>
    <xf numFmtId="0" fontId="25" fillId="0" borderId="0" xfId="0" applyFont="1" applyFill="1" applyBorder="1" applyAlignment="1" applyProtection="1">
      <alignment horizontal="left"/>
    </xf>
    <xf numFmtId="0" fontId="0" fillId="0" borderId="0" xfId="0" applyFont="1" applyFill="1" applyBorder="1" applyAlignment="1" applyProtection="1">
      <alignment horizontal="left"/>
    </xf>
    <xf numFmtId="1" fontId="19" fillId="0" borderId="0" xfId="0" applyNumberFormat="1" applyFont="1" applyFill="1" applyBorder="1" applyAlignment="1" applyProtection="1">
      <alignment horizontal="right"/>
    </xf>
    <xf numFmtId="0" fontId="19" fillId="0" borderId="0" xfId="0" applyFont="1" applyFill="1" applyBorder="1" applyAlignment="1" applyProtection="1">
      <alignment horizontal="right"/>
    </xf>
    <xf numFmtId="0" fontId="0" fillId="0" borderId="0" xfId="0" applyFill="1" applyAlignment="1" applyProtection="1">
      <alignment horizontal="left"/>
    </xf>
    <xf numFmtId="3" fontId="22" fillId="0" borderId="0" xfId="0" applyNumberFormat="1" applyFont="1" applyFill="1" applyBorder="1" applyAlignment="1" applyProtection="1">
      <alignment horizontal="right"/>
    </xf>
    <xf numFmtId="1" fontId="21" fillId="0" borderId="0" xfId="0" applyNumberFormat="1" applyFont="1" applyFill="1" applyBorder="1" applyAlignment="1" applyProtection="1">
      <alignment horizontal="right"/>
    </xf>
    <xf numFmtId="3" fontId="22" fillId="0" borderId="0" xfId="0" applyNumberFormat="1" applyFont="1" applyFill="1" applyBorder="1" applyProtection="1"/>
    <xf numFmtId="165" fontId="21" fillId="0" borderId="0" xfId="0" applyNumberFormat="1" applyFont="1" applyFill="1" applyProtection="1"/>
    <xf numFmtId="0" fontId="0" fillId="0" borderId="0" xfId="0" applyFont="1" applyFill="1" applyAlignment="1" applyProtection="1">
      <alignment horizontal="right" wrapText="1"/>
    </xf>
    <xf numFmtId="165" fontId="23" fillId="0" borderId="0" xfId="0" applyNumberFormat="1" applyFont="1" applyFill="1" applyProtection="1">
      <protection locked="0"/>
    </xf>
    <xf numFmtId="0" fontId="29" fillId="0" borderId="0" xfId="0" applyFont="1" applyFill="1" applyProtection="1"/>
    <xf numFmtId="0" fontId="0" fillId="0" borderId="0" xfId="0" applyFill="1" applyAlignment="1" applyProtection="1"/>
    <xf numFmtId="2" fontId="25" fillId="0" borderId="0" xfId="0" applyNumberFormat="1" applyFont="1" applyFill="1" applyBorder="1" applyProtection="1"/>
    <xf numFmtId="0" fontId="35" fillId="0" borderId="0" xfId="0" applyFont="1" applyFill="1" applyProtection="1"/>
    <xf numFmtId="4" fontId="23" fillId="0" borderId="0" xfId="0" applyNumberFormat="1" applyFont="1" applyFill="1" applyProtection="1"/>
    <xf numFmtId="167" fontId="22" fillId="0" borderId="0" xfId="0" applyNumberFormat="1" applyFont="1" applyFill="1" applyProtection="1"/>
    <xf numFmtId="168" fontId="22" fillId="0" borderId="0" xfId="0" applyNumberFormat="1" applyFont="1" applyFill="1" applyProtection="1"/>
    <xf numFmtId="3" fontId="0" fillId="0" borderId="0" xfId="0" applyNumberFormat="1"/>
    <xf numFmtId="0" fontId="27" fillId="0" borderId="0" xfId="0" applyFont="1" applyFill="1" applyBorder="1" applyAlignment="1" applyProtection="1">
      <alignment wrapText="1"/>
      <protection locked="0"/>
    </xf>
    <xf numFmtId="2" fontId="27" fillId="0" borderId="0" xfId="0" applyNumberFormat="1" applyFont="1" applyFill="1" applyBorder="1" applyAlignment="1" applyProtection="1">
      <alignment wrapText="1"/>
      <protection locked="0"/>
    </xf>
    <xf numFmtId="0" fontId="0" fillId="0" borderId="0" xfId="0" applyFont="1" applyFill="1"/>
    <xf numFmtId="2" fontId="47" fillId="0" borderId="0" xfId="0" applyNumberFormat="1" applyFont="1" applyFill="1" applyProtection="1"/>
    <xf numFmtId="1" fontId="23" fillId="0" borderId="0" xfId="0" applyNumberFormat="1" applyFont="1" applyProtection="1"/>
    <xf numFmtId="3" fontId="24" fillId="0" borderId="0" xfId="0" applyNumberFormat="1" applyFont="1" applyFill="1" applyBorder="1" applyAlignment="1" applyProtection="1">
      <alignment horizontal="right"/>
    </xf>
    <xf numFmtId="0" fontId="23" fillId="0" borderId="0" xfId="0" applyFont="1" applyProtection="1"/>
    <xf numFmtId="4" fontId="0" fillId="0" borderId="0" xfId="0" applyNumberFormat="1"/>
    <xf numFmtId="0" fontId="25" fillId="5" borderId="0" xfId="0" applyFont="1" applyFill="1" applyAlignment="1" applyProtection="1">
      <alignment wrapText="1"/>
    </xf>
    <xf numFmtId="3" fontId="48" fillId="5" borderId="0" xfId="0" applyNumberFormat="1" applyFont="1" applyFill="1" applyProtection="1">
      <protection locked="0"/>
    </xf>
    <xf numFmtId="0" fontId="0" fillId="6" borderId="0" xfId="0" applyFont="1" applyFill="1" applyProtection="1"/>
    <xf numFmtId="165" fontId="23" fillId="6" borderId="0" xfId="0" applyNumberFormat="1" applyFont="1" applyFill="1" applyProtection="1"/>
    <xf numFmtId="2" fontId="23" fillId="6" borderId="0" xfId="0" applyNumberFormat="1" applyFont="1" applyFill="1" applyProtection="1"/>
    <xf numFmtId="0" fontId="0" fillId="6" borderId="0" xfId="0" applyFill="1" applyProtection="1"/>
    <xf numFmtId="0" fontId="0" fillId="0" borderId="0" xfId="0" applyFill="1"/>
    <xf numFmtId="0" fontId="27" fillId="0" borderId="0" xfId="0" applyFont="1" applyFill="1" applyBorder="1"/>
    <xf numFmtId="165" fontId="27" fillId="0" borderId="0" xfId="0" applyNumberFormat="1" applyFont="1" applyFill="1" applyBorder="1"/>
    <xf numFmtId="0" fontId="37" fillId="6" borderId="0" xfId="0" applyFont="1" applyFill="1" applyProtection="1"/>
    <xf numFmtId="0" fontId="22" fillId="6" borderId="0" xfId="0" applyFont="1" applyFill="1" applyProtection="1"/>
    <xf numFmtId="0" fontId="0" fillId="6" borderId="0" xfId="0" applyFont="1" applyFill="1" applyAlignment="1" applyProtection="1">
      <alignment horizontal="right"/>
    </xf>
    <xf numFmtId="0" fontId="23" fillId="6" borderId="0" xfId="0" applyFont="1" applyFill="1" applyProtection="1"/>
    <xf numFmtId="3" fontId="23" fillId="6" borderId="0" xfId="0" applyNumberFormat="1" applyFont="1" applyFill="1" applyProtection="1">
      <protection locked="0"/>
    </xf>
    <xf numFmtId="1" fontId="22" fillId="6" borderId="0" xfId="0" applyNumberFormat="1" applyFont="1" applyFill="1" applyProtection="1"/>
    <xf numFmtId="0" fontId="26" fillId="6" borderId="0" xfId="0" applyFont="1" applyFill="1" applyProtection="1"/>
    <xf numFmtId="0" fontId="0" fillId="6" borderId="0" xfId="0" applyFont="1" applyFill="1" applyAlignment="1" applyProtection="1">
      <alignment horizontal="left" wrapText="1"/>
    </xf>
    <xf numFmtId="2" fontId="21" fillId="6" borderId="0" xfId="0" applyNumberFormat="1" applyFont="1" applyFill="1" applyProtection="1"/>
    <xf numFmtId="0" fontId="0" fillId="6" borderId="0" xfId="0" applyFill="1" applyAlignment="1" applyProtection="1">
      <alignment horizontal="right"/>
    </xf>
    <xf numFmtId="3" fontId="24" fillId="6" borderId="0" xfId="0" applyNumberFormat="1" applyFont="1" applyFill="1" applyProtection="1">
      <protection locked="0"/>
    </xf>
    <xf numFmtId="167" fontId="23" fillId="6" borderId="0" xfId="0" applyNumberFormat="1" applyFont="1" applyFill="1" applyProtection="1"/>
    <xf numFmtId="0" fontId="24" fillId="6" borderId="0" xfId="0" applyFont="1" applyFill="1" applyProtection="1"/>
    <xf numFmtId="0" fontId="37" fillId="6" borderId="0" xfId="0" applyFont="1" applyFill="1" applyProtection="1">
      <protection locked="0"/>
    </xf>
    <xf numFmtId="0" fontId="30" fillId="6" borderId="0" xfId="0" applyFont="1" applyFill="1" applyAlignment="1" applyProtection="1">
      <alignment horizontal="left" wrapText="1"/>
    </xf>
    <xf numFmtId="2" fontId="22" fillId="6" borderId="0" xfId="0" applyNumberFormat="1" applyFont="1" applyFill="1" applyProtection="1"/>
    <xf numFmtId="1" fontId="24" fillId="6" borderId="0" xfId="0" applyNumberFormat="1" applyFont="1" applyFill="1" applyProtection="1"/>
    <xf numFmtId="0" fontId="21" fillId="6" borderId="0" xfId="0" applyFont="1" applyFill="1" applyProtection="1">
      <protection locked="0"/>
    </xf>
    <xf numFmtId="0" fontId="34" fillId="6" borderId="0" xfId="0" applyFont="1" applyFill="1" applyProtection="1">
      <protection locked="0"/>
    </xf>
    <xf numFmtId="0" fontId="0" fillId="6" borderId="0" xfId="0" applyFont="1" applyFill="1" applyAlignment="1" applyProtection="1">
      <alignment horizontal="right"/>
      <protection locked="0"/>
    </xf>
    <xf numFmtId="1" fontId="22" fillId="6" borderId="0" xfId="0" applyNumberFormat="1" applyFont="1" applyFill="1" applyBorder="1" applyProtection="1"/>
    <xf numFmtId="0" fontId="33" fillId="6" borderId="0" xfId="0" applyFont="1" applyFill="1" applyProtection="1"/>
    <xf numFmtId="0" fontId="0" fillId="6" borderId="0" xfId="0" applyFont="1" applyFill="1" applyAlignment="1" applyProtection="1">
      <alignment vertical="top" wrapText="1"/>
    </xf>
    <xf numFmtId="1" fontId="23" fillId="6" borderId="0" xfId="0" applyNumberFormat="1" applyFont="1" applyFill="1" applyAlignment="1" applyProtection="1">
      <alignment horizontal="right"/>
    </xf>
    <xf numFmtId="0" fontId="18" fillId="0" borderId="0" xfId="0" applyFont="1" applyFill="1" applyAlignment="1" applyProtection="1"/>
    <xf numFmtId="0" fontId="0" fillId="0" borderId="0" xfId="0" applyFill="1" applyAlignment="1">
      <alignment wrapText="1"/>
    </xf>
    <xf numFmtId="0" fontId="0" fillId="0" borderId="0" xfId="0" applyFont="1" applyFill="1" applyBorder="1" applyAlignment="1" applyProtection="1">
      <alignment horizontal="left" wrapText="1"/>
    </xf>
    <xf numFmtId="167" fontId="27" fillId="0" borderId="0" xfId="0" applyNumberFormat="1" applyFont="1" applyFill="1" applyProtection="1">
      <protection locked="0"/>
    </xf>
    <xf numFmtId="3" fontId="27" fillId="0" borderId="0" xfId="0" applyNumberFormat="1" applyFont="1" applyFill="1" applyProtection="1">
      <protection locked="0"/>
    </xf>
    <xf numFmtId="168" fontId="27" fillId="0" borderId="0" xfId="0" applyNumberFormat="1" applyFont="1" applyFill="1" applyProtection="1">
      <protection locked="0"/>
    </xf>
    <xf numFmtId="0" fontId="27" fillId="0" borderId="0" xfId="0" applyFont="1" applyFill="1"/>
    <xf numFmtId="0" fontId="44" fillId="0" borderId="0" xfId="0" applyFont="1"/>
    <xf numFmtId="165" fontId="0" fillId="0" borderId="0" xfId="0" applyNumberFormat="1"/>
    <xf numFmtId="0" fontId="24" fillId="2" borderId="0" xfId="0" applyFont="1" applyFill="1"/>
    <xf numFmtId="169" fontId="23" fillId="0" borderId="0" xfId="0" applyNumberFormat="1" applyFont="1" applyFill="1" applyProtection="1"/>
    <xf numFmtId="0" fontId="0" fillId="0" borderId="0" xfId="0" applyAlignment="1">
      <alignment vertical="center"/>
    </xf>
    <xf numFmtId="0" fontId="0" fillId="0" borderId="16" xfId="0" applyBorder="1"/>
    <xf numFmtId="0" fontId="23" fillId="0" borderId="0" xfId="0" applyFont="1" applyFill="1" applyAlignment="1" applyProtection="1">
      <alignment horizontal="right"/>
    </xf>
    <xf numFmtId="0" fontId="23" fillId="0" borderId="0" xfId="0" applyFont="1" applyFill="1" applyAlignment="1" applyProtection="1">
      <alignment horizontal="right"/>
      <protection locked="0"/>
    </xf>
    <xf numFmtId="0" fontId="23" fillId="0" borderId="0" xfId="0" applyFont="1" applyFill="1" applyBorder="1" applyAlignment="1" applyProtection="1">
      <alignment horizontal="right" wrapText="1"/>
    </xf>
    <xf numFmtId="0" fontId="0" fillId="2" borderId="16" xfId="0" applyFill="1" applyBorder="1"/>
    <xf numFmtId="0" fontId="28" fillId="0" borderId="0" xfId="0" applyFont="1" applyFill="1" applyBorder="1" applyAlignment="1" applyProtection="1">
      <alignment wrapText="1"/>
    </xf>
    <xf numFmtId="0" fontId="28" fillId="0" borderId="0" xfId="0" applyFont="1" applyProtection="1">
      <protection locked="0"/>
    </xf>
    <xf numFmtId="0" fontId="7" fillId="0" borderId="0" xfId="0" applyFont="1" applyAlignment="1" applyProtection="1">
      <alignment wrapText="1"/>
    </xf>
    <xf numFmtId="0" fontId="25" fillId="0" borderId="0" xfId="0" applyFont="1" applyFill="1" applyBorder="1" applyAlignment="1" applyProtection="1">
      <alignment vertical="center" wrapText="1"/>
    </xf>
    <xf numFmtId="4" fontId="23" fillId="0" borderId="0" xfId="0" applyNumberFormat="1" applyFont="1" applyProtection="1"/>
    <xf numFmtId="0" fontId="22" fillId="0" borderId="1" xfId="0" applyFont="1" applyBorder="1"/>
    <xf numFmtId="2" fontId="22" fillId="0" borderId="18" xfId="0" applyNumberFormat="1" applyFont="1" applyBorder="1"/>
    <xf numFmtId="0" fontId="24" fillId="2" borderId="1" xfId="0" applyFont="1" applyFill="1" applyBorder="1"/>
    <xf numFmtId="0" fontId="24" fillId="2" borderId="19" xfId="0" applyFont="1" applyFill="1" applyBorder="1"/>
    <xf numFmtId="0" fontId="22" fillId="0" borderId="20" xfId="0" applyFont="1" applyBorder="1"/>
    <xf numFmtId="0" fontId="0" fillId="0" borderId="14" xfId="0" applyBorder="1"/>
    <xf numFmtId="0" fontId="22" fillId="0" borderId="0" xfId="0" applyFont="1" applyFill="1" applyAlignment="1" applyProtection="1">
      <alignment horizontal="right"/>
    </xf>
    <xf numFmtId="0" fontId="22" fillId="0" borderId="0" xfId="0" applyFont="1" applyFill="1" applyAlignment="1" applyProtection="1">
      <alignment horizontal="right"/>
      <protection locked="0"/>
    </xf>
    <xf numFmtId="0" fontId="0" fillId="0" borderId="0" xfId="0" applyFont="1" applyBorder="1" applyProtection="1">
      <protection locked="0"/>
    </xf>
    <xf numFmtId="3" fontId="48" fillId="5" borderId="0" xfId="0" applyNumberFormat="1" applyFont="1" applyFill="1" applyBorder="1" applyProtection="1">
      <protection locked="0"/>
    </xf>
    <xf numFmtId="165" fontId="23" fillId="0" borderId="0" xfId="0" applyNumberFormat="1" applyFont="1" applyFill="1" applyBorder="1" applyProtection="1"/>
    <xf numFmtId="0" fontId="22" fillId="0" borderId="0" xfId="0" applyFont="1" applyFill="1" applyBorder="1" applyProtection="1">
      <protection locked="0"/>
    </xf>
    <xf numFmtId="167" fontId="23" fillId="0" borderId="0" xfId="0" applyNumberFormat="1" applyFont="1" applyFill="1" applyBorder="1" applyProtection="1"/>
    <xf numFmtId="0" fontId="0" fillId="0" borderId="0" xfId="0" applyFont="1" applyBorder="1" applyProtection="1"/>
    <xf numFmtId="3" fontId="24" fillId="0" borderId="0" xfId="0" applyNumberFormat="1" applyFont="1" applyFill="1" applyBorder="1" applyProtection="1">
      <protection locked="0"/>
    </xf>
    <xf numFmtId="0" fontId="24" fillId="0" borderId="0" xfId="0" applyFont="1" applyFill="1" applyBorder="1" applyAlignment="1" applyProtection="1">
      <alignment horizontal="right"/>
    </xf>
    <xf numFmtId="0" fontId="0" fillId="0" borderId="16" xfId="0" applyFill="1" applyBorder="1" applyAlignment="1" applyProtection="1">
      <alignment horizontal="center"/>
    </xf>
    <xf numFmtId="0" fontId="0" fillId="0" borderId="16" xfId="0" applyFont="1" applyFill="1" applyBorder="1" applyAlignment="1" applyProtection="1">
      <alignment horizontal="center"/>
    </xf>
    <xf numFmtId="0" fontId="0" fillId="0" borderId="16" xfId="0" applyFont="1" applyFill="1" applyBorder="1" applyAlignment="1" applyProtection="1">
      <alignment horizontal="right"/>
    </xf>
    <xf numFmtId="3" fontId="23" fillId="0" borderId="0" xfId="0" applyNumberFormat="1" applyFont="1" applyFill="1" applyBorder="1" applyProtection="1">
      <protection locked="0"/>
    </xf>
    <xf numFmtId="3" fontId="22" fillId="0" borderId="0" xfId="0" applyNumberFormat="1" applyFont="1" applyFill="1"/>
    <xf numFmtId="4" fontId="23" fillId="0" borderId="0" xfId="0" applyNumberFormat="1" applyFont="1" applyFill="1"/>
    <xf numFmtId="3" fontId="23" fillId="0" borderId="0" xfId="0" applyNumberFormat="1" applyFont="1" applyFill="1"/>
    <xf numFmtId="0" fontId="0" fillId="0" borderId="0" xfId="0" applyFont="1" applyFill="1" applyAlignment="1" applyProtection="1">
      <alignment horizontal="left"/>
    </xf>
    <xf numFmtId="0" fontId="0" fillId="0" borderId="0" xfId="0" applyFill="1" applyBorder="1" applyAlignment="1" applyProtection="1">
      <alignment horizontal="left"/>
    </xf>
    <xf numFmtId="167" fontId="28" fillId="0" borderId="0" xfId="0" applyNumberFormat="1" applyFont="1" applyFill="1" applyAlignment="1" applyProtection="1">
      <alignment horizontal="right"/>
      <protection locked="0"/>
    </xf>
    <xf numFmtId="4" fontId="23" fillId="0" borderId="22" xfId="0" applyNumberFormat="1" applyFont="1" applyFill="1" applyBorder="1" applyProtection="1">
      <protection locked="0"/>
    </xf>
    <xf numFmtId="4" fontId="23" fillId="0" borderId="22" xfId="0" applyNumberFormat="1" applyFont="1" applyFill="1" applyBorder="1" applyProtection="1"/>
    <xf numFmtId="4" fontId="23" fillId="0" borderId="0" xfId="0" applyNumberFormat="1" applyFont="1" applyFill="1" applyProtection="1">
      <protection locked="0"/>
    </xf>
    <xf numFmtId="4" fontId="23" fillId="0" borderId="16" xfId="0" applyNumberFormat="1" applyFont="1" applyFill="1" applyBorder="1" applyProtection="1"/>
    <xf numFmtId="4" fontId="24" fillId="2" borderId="0" xfId="0" applyNumberFormat="1" applyFont="1" applyFill="1" applyProtection="1">
      <protection locked="0"/>
    </xf>
    <xf numFmtId="4" fontId="24" fillId="2" borderId="0" xfId="0" applyNumberFormat="1" applyFont="1" applyFill="1" applyBorder="1" applyAlignment="1" applyProtection="1">
      <alignment horizontal="right"/>
    </xf>
    <xf numFmtId="3" fontId="48" fillId="0" borderId="0" xfId="0" applyNumberFormat="1" applyFont="1" applyFill="1" applyBorder="1" applyProtection="1">
      <protection locked="0"/>
    </xf>
    <xf numFmtId="0" fontId="0" fillId="0" borderId="0" xfId="0" applyFont="1" applyBorder="1"/>
    <xf numFmtId="165" fontId="23" fillId="0" borderId="0" xfId="0" applyNumberFormat="1" applyFont="1" applyBorder="1"/>
    <xf numFmtId="3" fontId="23" fillId="0" borderId="0" xfId="0" applyNumberFormat="1" applyFont="1" applyBorder="1"/>
    <xf numFmtId="1" fontId="27" fillId="0" borderId="0" xfId="0" applyNumberFormat="1" applyFont="1" applyBorder="1" applyProtection="1">
      <protection locked="0"/>
    </xf>
    <xf numFmtId="4" fontId="23" fillId="0" borderId="22" xfId="0" applyNumberFormat="1" applyFont="1" applyBorder="1"/>
    <xf numFmtId="2" fontId="23" fillId="0" borderId="22" xfId="0" applyNumberFormat="1" applyFont="1" applyBorder="1"/>
    <xf numFmtId="3" fontId="25" fillId="0" borderId="0" xfId="0" applyNumberFormat="1" applyFont="1" applyAlignment="1">
      <alignment horizontal="right"/>
    </xf>
    <xf numFmtId="2" fontId="22" fillId="0" borderId="0" xfId="0" applyNumberFormat="1" applyFont="1" applyAlignment="1">
      <alignment horizontal="right"/>
    </xf>
    <xf numFmtId="0" fontId="27" fillId="0" borderId="0" xfId="0" applyFont="1" applyBorder="1"/>
    <xf numFmtId="0" fontId="0" fillId="0" borderId="0" xfId="0" applyBorder="1"/>
    <xf numFmtId="0" fontId="27" fillId="0" borderId="0" xfId="0" applyFont="1" applyBorder="1" applyAlignment="1">
      <alignment wrapText="1"/>
    </xf>
    <xf numFmtId="4" fontId="27" fillId="0" borderId="0" xfId="0" applyNumberFormat="1" applyFont="1" applyBorder="1" applyAlignment="1">
      <alignment horizontal="left"/>
    </xf>
    <xf numFmtId="0" fontId="0" fillId="0" borderId="17" xfId="0" applyBorder="1"/>
    <xf numFmtId="0" fontId="27" fillId="0" borderId="1" xfId="0" applyFont="1" applyBorder="1"/>
    <xf numFmtId="4" fontId="27" fillId="0" borderId="20" xfId="0" applyNumberFormat="1" applyFont="1" applyBorder="1"/>
    <xf numFmtId="0" fontId="27" fillId="0" borderId="19" xfId="0" applyFont="1" applyFill="1" applyBorder="1" applyAlignment="1">
      <alignment horizontal="left"/>
    </xf>
    <xf numFmtId="0" fontId="23" fillId="0" borderId="16" xfId="0" applyFont="1" applyBorder="1" applyProtection="1"/>
    <xf numFmtId="2" fontId="27" fillId="0" borderId="0" xfId="0" applyNumberFormat="1" applyFont="1" applyFill="1" applyBorder="1" applyAlignment="1">
      <alignment wrapText="1"/>
    </xf>
    <xf numFmtId="0" fontId="18" fillId="0" borderId="14" xfId="0" applyFont="1" applyBorder="1"/>
    <xf numFmtId="0" fontId="18" fillId="0" borderId="17" xfId="0" applyFont="1" applyBorder="1" applyAlignment="1">
      <alignment horizontal="right"/>
    </xf>
    <xf numFmtId="0" fontId="18" fillId="0" borderId="15" xfId="0" applyFont="1" applyBorder="1" applyAlignment="1">
      <alignment horizontal="right"/>
    </xf>
    <xf numFmtId="0" fontId="18" fillId="0" borderId="16" xfId="0" applyFont="1" applyBorder="1"/>
    <xf numFmtId="2" fontId="23" fillId="0" borderId="16" xfId="0" applyNumberFormat="1" applyFont="1" applyBorder="1"/>
    <xf numFmtId="2" fontId="0" fillId="0" borderId="0" xfId="0" applyNumberFormat="1" applyFont="1"/>
    <xf numFmtId="0" fontId="0" fillId="0" borderId="0" xfId="0" applyFont="1" applyAlignment="1">
      <alignment vertical="top" wrapText="1"/>
    </xf>
    <xf numFmtId="0" fontId="52" fillId="0" borderId="0" xfId="0" applyFont="1"/>
    <xf numFmtId="0" fontId="19" fillId="0" borderId="0" xfId="0" applyFont="1"/>
    <xf numFmtId="0" fontId="19" fillId="0" borderId="0" xfId="0" applyFont="1" applyFill="1"/>
    <xf numFmtId="0" fontId="51" fillId="0" borderId="0" xfId="0" applyFont="1"/>
    <xf numFmtId="0" fontId="51" fillId="7" borderId="0" xfId="0" applyFont="1" applyFill="1"/>
    <xf numFmtId="0" fontId="18" fillId="0" borderId="0" xfId="0" applyFont="1" applyBorder="1" applyAlignment="1">
      <alignment horizontal="right"/>
    </xf>
    <xf numFmtId="0" fontId="18" fillId="0" borderId="0" xfId="0" applyFont="1" applyAlignment="1">
      <alignment horizontal="right"/>
    </xf>
    <xf numFmtId="0" fontId="0" fillId="0" borderId="0" xfId="0" applyFont="1" applyAlignment="1">
      <alignment horizontal="left" vertical="top" wrapText="1"/>
    </xf>
    <xf numFmtId="0" fontId="54" fillId="0" borderId="0" xfId="0" applyFont="1" applyAlignment="1">
      <alignment horizontal="left" vertical="top" wrapText="1"/>
    </xf>
    <xf numFmtId="0" fontId="18" fillId="0" borderId="22" xfId="0" applyFont="1" applyBorder="1"/>
    <xf numFmtId="0" fontId="18" fillId="0" borderId="0" xfId="0" applyFont="1" applyAlignment="1">
      <alignment wrapText="1"/>
    </xf>
    <xf numFmtId="2" fontId="24" fillId="2" borderId="0" xfId="0" applyNumberFormat="1" applyFont="1" applyFill="1" applyProtection="1"/>
    <xf numFmtId="2" fontId="0" fillId="0" borderId="0" xfId="0" applyNumberFormat="1" applyFont="1" applyProtection="1"/>
    <xf numFmtId="0" fontId="0" fillId="0" borderId="16" xfId="0" applyFont="1" applyBorder="1" applyProtection="1"/>
    <xf numFmtId="4" fontId="27" fillId="0" borderId="21" xfId="0" applyNumberFormat="1" applyFont="1" applyFill="1" applyBorder="1" applyAlignment="1">
      <alignment horizontal="right"/>
    </xf>
    <xf numFmtId="0" fontId="24" fillId="2" borderId="16" xfId="0" applyFont="1" applyFill="1" applyBorder="1"/>
    <xf numFmtId="169" fontId="0" fillId="0" borderId="0" xfId="0" applyNumberFormat="1" applyFont="1" applyBorder="1" applyProtection="1"/>
    <xf numFmtId="0" fontId="0" fillId="0" borderId="10" xfId="0" applyFont="1" applyBorder="1" applyProtection="1"/>
    <xf numFmtId="0" fontId="0" fillId="0" borderId="0" xfId="0" applyAlignment="1">
      <alignment wrapText="1"/>
    </xf>
    <xf numFmtId="0" fontId="18" fillId="0" borderId="0" xfId="0" applyFont="1"/>
    <xf numFmtId="0" fontId="0" fillId="0" borderId="0" xfId="0" applyFont="1"/>
    <xf numFmtId="0" fontId="0" fillId="0" borderId="0" xfId="0"/>
    <xf numFmtId="165" fontId="0" fillId="0" borderId="0" xfId="0" applyNumberFormat="1" applyFill="1" applyProtection="1"/>
    <xf numFmtId="0" fontId="0" fillId="2" borderId="10" xfId="0" applyFill="1" applyBorder="1"/>
    <xf numFmtId="0" fontId="0" fillId="0" borderId="0" xfId="0" applyFont="1"/>
    <xf numFmtId="0" fontId="0" fillId="0" borderId="0" xfId="0"/>
    <xf numFmtId="2" fontId="23" fillId="0" borderId="16" xfId="0" applyNumberFormat="1" applyFont="1" applyFill="1" applyBorder="1"/>
    <xf numFmtId="0" fontId="18" fillId="0" borderId="16" xfId="0" applyFont="1" applyBorder="1" applyAlignment="1">
      <alignment horizontal="right"/>
    </xf>
    <xf numFmtId="0" fontId="18" fillId="0" borderId="16" xfId="0" applyFont="1" applyBorder="1" applyAlignment="1">
      <alignment horizontal="right" wrapText="1"/>
    </xf>
    <xf numFmtId="0" fontId="18" fillId="0" borderId="10" xfId="0" applyFont="1" applyBorder="1" applyAlignment="1"/>
    <xf numFmtId="2" fontId="23" fillId="0" borderId="18" xfId="0" applyNumberFormat="1" applyFont="1" applyFill="1" applyBorder="1"/>
    <xf numFmtId="0" fontId="23" fillId="0" borderId="20" xfId="0" applyFont="1" applyBorder="1"/>
    <xf numFmtId="2" fontId="23" fillId="0" borderId="18" xfId="0" applyNumberFormat="1" applyFont="1" applyBorder="1"/>
    <xf numFmtId="2" fontId="23" fillId="0" borderId="20" xfId="0" applyNumberFormat="1" applyFont="1" applyBorder="1"/>
    <xf numFmtId="0" fontId="28" fillId="0" borderId="1" xfId="0" applyFont="1" applyBorder="1"/>
    <xf numFmtId="4" fontId="22" fillId="0" borderId="0" xfId="0" applyNumberFormat="1" applyFont="1" applyFill="1" applyBorder="1" applyAlignment="1" applyProtection="1">
      <alignment horizontal="right"/>
    </xf>
    <xf numFmtId="0" fontId="22" fillId="0" borderId="0" xfId="0" applyFont="1" applyFill="1" applyBorder="1"/>
    <xf numFmtId="165" fontId="22" fillId="0" borderId="0" xfId="0" applyNumberFormat="1" applyFont="1" applyFill="1" applyBorder="1" applyProtection="1">
      <protection locked="0"/>
    </xf>
    <xf numFmtId="165" fontId="22" fillId="0" borderId="0" xfId="0" applyNumberFormat="1" applyFont="1" applyFill="1" applyProtection="1">
      <protection locked="0"/>
    </xf>
    <xf numFmtId="165" fontId="22" fillId="0" borderId="0" xfId="0" applyNumberFormat="1" applyFont="1" applyFill="1" applyBorder="1"/>
    <xf numFmtId="0" fontId="18" fillId="9" borderId="0" xfId="0" applyFont="1" applyFill="1"/>
    <xf numFmtId="0" fontId="0" fillId="9" borderId="0" xfId="0" applyFont="1" applyFill="1"/>
    <xf numFmtId="0" fontId="0" fillId="9" borderId="0" xfId="0" applyFill="1"/>
    <xf numFmtId="0" fontId="0" fillId="9" borderId="0" xfId="0" applyFill="1" applyAlignment="1">
      <alignment horizontal="right"/>
    </xf>
    <xf numFmtId="4" fontId="22" fillId="9" borderId="0" xfId="0" applyNumberFormat="1" applyFont="1" applyFill="1"/>
    <xf numFmtId="4" fontId="23" fillId="9" borderId="0" xfId="0" applyNumberFormat="1" applyFont="1" applyFill="1"/>
    <xf numFmtId="2" fontId="23" fillId="9" borderId="0" xfId="0" applyNumberFormat="1" applyFont="1" applyFill="1"/>
    <xf numFmtId="0" fontId="18" fillId="9" borderId="22" xfId="0" applyFont="1" applyFill="1" applyBorder="1"/>
    <xf numFmtId="4" fontId="23" fillId="9" borderId="22" xfId="0" applyNumberFormat="1" applyFont="1" applyFill="1" applyBorder="1"/>
    <xf numFmtId="2" fontId="23" fillId="9" borderId="22" xfId="0" applyNumberFormat="1" applyFont="1" applyFill="1" applyBorder="1"/>
    <xf numFmtId="0" fontId="0" fillId="0" borderId="0" xfId="0" applyFont="1"/>
    <xf numFmtId="0" fontId="0" fillId="0" borderId="0" xfId="0"/>
    <xf numFmtId="0" fontId="18" fillId="0" borderId="0" xfId="0" applyFont="1"/>
    <xf numFmtId="0" fontId="0" fillId="0" borderId="0" xfId="0"/>
    <xf numFmtId="2" fontId="24" fillId="2" borderId="16" xfId="0" applyNumberFormat="1" applyFont="1" applyFill="1" applyBorder="1"/>
    <xf numFmtId="0" fontId="18" fillId="9" borderId="0" xfId="0" applyFont="1" applyFill="1" applyBorder="1"/>
    <xf numFmtId="4" fontId="23" fillId="9" borderId="0" xfId="0" applyNumberFormat="1" applyFont="1" applyFill="1" applyBorder="1"/>
    <xf numFmtId="2" fontId="23" fillId="9" borderId="0" xfId="0" applyNumberFormat="1" applyFont="1" applyFill="1" applyBorder="1"/>
    <xf numFmtId="0" fontId="18" fillId="0" borderId="0" xfId="0" applyFont="1" applyFill="1" applyBorder="1"/>
    <xf numFmtId="4" fontId="23" fillId="0" borderId="0" xfId="0" applyNumberFormat="1" applyFont="1" applyFill="1" applyBorder="1"/>
    <xf numFmtId="2" fontId="23" fillId="0" borderId="0" xfId="0" applyNumberFormat="1" applyFont="1" applyFill="1" applyBorder="1"/>
    <xf numFmtId="0" fontId="22" fillId="0" borderId="0" xfId="0" applyFont="1" applyFill="1" applyAlignment="1">
      <alignment horizontal="right"/>
    </xf>
    <xf numFmtId="0" fontId="18" fillId="0" borderId="23" xfId="0" applyFont="1" applyFill="1" applyBorder="1"/>
    <xf numFmtId="4" fontId="23" fillId="0" borderId="23" xfId="0" applyNumberFormat="1" applyFont="1" applyFill="1" applyBorder="1"/>
    <xf numFmtId="2" fontId="23" fillId="0" borderId="23" xfId="0" applyNumberFormat="1" applyFont="1" applyFill="1" applyBorder="1"/>
    <xf numFmtId="0" fontId="0" fillId="0" borderId="23" xfId="0" applyFill="1" applyBorder="1"/>
    <xf numFmtId="0" fontId="0" fillId="0" borderId="23" xfId="0" applyBorder="1"/>
    <xf numFmtId="4" fontId="0" fillId="0" borderId="0" xfId="0" applyNumberFormat="1" applyFont="1"/>
    <xf numFmtId="0" fontId="0" fillId="0" borderId="24" xfId="0" applyBorder="1"/>
    <xf numFmtId="0" fontId="0" fillId="0" borderId="25" xfId="0" applyBorder="1" applyAlignment="1">
      <alignment horizontal="justify" vertical="center" wrapText="1"/>
    </xf>
    <xf numFmtId="0" fontId="0" fillId="0" borderId="26" xfId="0" applyFont="1" applyBorder="1" applyProtection="1"/>
    <xf numFmtId="0" fontId="0" fillId="0" borderId="27" xfId="0" applyFont="1" applyBorder="1" applyProtection="1"/>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0" fillId="0" borderId="30" xfId="0" applyBorder="1" applyAlignment="1">
      <alignment horizontal="right" vertical="center" wrapText="1"/>
    </xf>
    <xf numFmtId="0" fontId="0" fillId="0" borderId="31" xfId="0" applyBorder="1" applyAlignment="1">
      <alignment horizontal="justify" vertical="center" wrapText="1"/>
    </xf>
    <xf numFmtId="0" fontId="0" fillId="0" borderId="32" xfId="0" applyFont="1" applyBorder="1" applyProtection="1"/>
    <xf numFmtId="0" fontId="0" fillId="0" borderId="33" xfId="0" applyFont="1" applyBorder="1" applyProtection="1"/>
    <xf numFmtId="0" fontId="0" fillId="0" borderId="34" xfId="0" applyBorder="1" applyAlignment="1">
      <alignment horizontal="right" vertical="center" wrapText="1"/>
    </xf>
    <xf numFmtId="0" fontId="0" fillId="0" borderId="0" xfId="0" applyFont="1" applyAlignment="1">
      <alignment horizontal="left" vertical="center"/>
    </xf>
    <xf numFmtId="0" fontId="0" fillId="0" borderId="0" xfId="0" applyFont="1"/>
    <xf numFmtId="0" fontId="57" fillId="0" borderId="0" xfId="0" applyFont="1" applyAlignment="1" applyProtection="1">
      <alignment horizontal="left"/>
      <protection locked="0"/>
    </xf>
    <xf numFmtId="0" fontId="58" fillId="0" borderId="0" xfId="0" applyFont="1" applyAlignment="1">
      <alignment horizontal="left" vertical="top" wrapText="1"/>
    </xf>
    <xf numFmtId="0" fontId="61" fillId="0" borderId="0" xfId="0" applyFont="1"/>
    <xf numFmtId="0" fontId="26" fillId="9" borderId="0" xfId="0" applyFont="1" applyFill="1" applyAlignment="1">
      <alignment vertical="top" wrapText="1"/>
    </xf>
    <xf numFmtId="0" fontId="63" fillId="0" borderId="0" xfId="0" applyFont="1"/>
    <xf numFmtId="0" fontId="63" fillId="0" borderId="0" xfId="0" applyFont="1" applyFill="1"/>
    <xf numFmtId="0" fontId="63" fillId="0" borderId="0" xfId="0" applyFont="1" applyAlignment="1">
      <alignment horizontal="right"/>
    </xf>
    <xf numFmtId="0" fontId="63" fillId="0" borderId="0" xfId="0" applyFont="1" applyFill="1" applyAlignment="1">
      <alignment horizontal="right"/>
    </xf>
    <xf numFmtId="0" fontId="0" fillId="0" borderId="0" xfId="0" applyFont="1" applyAlignment="1">
      <alignment horizontal="right" vertical="center"/>
    </xf>
    <xf numFmtId="0" fontId="0" fillId="0" borderId="0" xfId="0" applyFont="1" applyAlignment="1">
      <alignment vertical="center"/>
    </xf>
    <xf numFmtId="0" fontId="25" fillId="0" borderId="0" xfId="0" applyFont="1" applyAlignment="1">
      <alignment vertical="center"/>
    </xf>
    <xf numFmtId="0" fontId="0" fillId="0" borderId="0" xfId="0" applyNumberFormat="1" applyFont="1" applyAlignment="1">
      <alignment vertical="center"/>
    </xf>
    <xf numFmtId="0" fontId="25"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58" fillId="0" borderId="16" xfId="0" applyFont="1" applyBorder="1" applyAlignment="1">
      <alignment horizontal="left"/>
    </xf>
    <xf numFmtId="0" fontId="58" fillId="0" borderId="16" xfId="0" applyFont="1" applyBorder="1"/>
    <xf numFmtId="0" fontId="58" fillId="0" borderId="0" xfId="0" applyFont="1"/>
    <xf numFmtId="0" fontId="58" fillId="4" borderId="16" xfId="0" applyFont="1" applyFill="1" applyBorder="1" applyAlignment="1">
      <alignment horizontal="left"/>
    </xf>
    <xf numFmtId="0" fontId="58" fillId="4" borderId="16" xfId="0" applyFont="1" applyFill="1" applyBorder="1"/>
    <xf numFmtId="0" fontId="58" fillId="0" borderId="0" xfId="0" applyFont="1" applyFill="1"/>
    <xf numFmtId="0" fontId="58" fillId="0" borderId="16" xfId="0" applyFont="1" applyFill="1" applyBorder="1" applyAlignment="1">
      <alignment horizontal="left"/>
    </xf>
    <xf numFmtId="0" fontId="58" fillId="0" borderId="16" xfId="0" applyFont="1" applyFill="1" applyBorder="1"/>
    <xf numFmtId="0" fontId="64" fillId="0" borderId="16" xfId="0" applyFont="1" applyBorder="1" applyAlignment="1">
      <alignment horizontal="left"/>
    </xf>
    <xf numFmtId="0" fontId="64" fillId="0" borderId="16" xfId="0" applyFont="1" applyBorder="1"/>
    <xf numFmtId="0" fontId="65" fillId="10" borderId="0" xfId="0" applyFont="1" applyFill="1"/>
    <xf numFmtId="0" fontId="18" fillId="0" borderId="16" xfId="0" applyFont="1" applyBorder="1" applyAlignment="1">
      <alignment horizontal="center" vertical="center" wrapText="1"/>
    </xf>
    <xf numFmtId="0" fontId="28" fillId="0" borderId="16" xfId="0" applyFont="1" applyBorder="1" applyAlignment="1">
      <alignment horizontal="center" vertical="center" wrapText="1"/>
    </xf>
    <xf numFmtId="0" fontId="0" fillId="0" borderId="16" xfId="0" applyBorder="1" applyAlignment="1">
      <alignment vertical="center" wrapText="1"/>
    </xf>
    <xf numFmtId="0" fontId="50" fillId="0" borderId="16" xfId="0" applyFont="1" applyBorder="1" applyAlignment="1">
      <alignment vertical="center" wrapText="1"/>
    </xf>
    <xf numFmtId="2" fontId="50" fillId="0" borderId="16" xfId="0" applyNumberFormat="1" applyFont="1" applyBorder="1" applyAlignment="1">
      <alignment vertical="center" wrapText="1"/>
    </xf>
    <xf numFmtId="0" fontId="66" fillId="0" borderId="0" xfId="0" applyFont="1"/>
    <xf numFmtId="0" fontId="66" fillId="0" borderId="0" xfId="0" applyFont="1" applyAlignment="1" applyProtection="1">
      <alignment horizontal="left"/>
      <protection locked="0"/>
    </xf>
    <xf numFmtId="0" fontId="66" fillId="0" borderId="0" xfId="0" applyFont="1" applyAlignment="1">
      <alignment horizontal="left"/>
    </xf>
    <xf numFmtId="0" fontId="68" fillId="0" borderId="0" xfId="0" applyFont="1"/>
    <xf numFmtId="0" fontId="58" fillId="0" borderId="35" xfId="0" applyFont="1" applyBorder="1" applyAlignment="1">
      <alignment horizontal="left" vertical="top" wrapText="1"/>
    </xf>
    <xf numFmtId="0" fontId="0" fillId="0" borderId="0" xfId="0" applyFont="1" applyAlignment="1" applyProtection="1">
      <alignment horizontal="right" vertical="center"/>
    </xf>
    <xf numFmtId="0" fontId="66" fillId="0" borderId="0" xfId="0" applyFont="1" applyProtection="1"/>
    <xf numFmtId="0" fontId="0" fillId="0" borderId="37" xfId="0" applyFont="1" applyBorder="1" applyProtection="1"/>
    <xf numFmtId="0" fontId="0" fillId="0" borderId="38" xfId="0" applyFont="1" applyBorder="1" applyProtection="1"/>
    <xf numFmtId="165" fontId="21" fillId="0" borderId="18" xfId="0" applyNumberFormat="1" applyFont="1" applyBorder="1" applyProtection="1"/>
    <xf numFmtId="0" fontId="19" fillId="0" borderId="18" xfId="0" applyFont="1" applyBorder="1" applyProtection="1"/>
    <xf numFmtId="2" fontId="22" fillId="0" borderId="0" xfId="0" applyNumberFormat="1" applyFont="1" applyBorder="1" applyProtection="1"/>
    <xf numFmtId="0" fontId="0" fillId="0" borderId="18" xfId="0" applyFont="1" applyBorder="1" applyProtection="1"/>
    <xf numFmtId="0" fontId="25" fillId="0" borderId="24" xfId="0" applyFont="1" applyFill="1" applyBorder="1" applyAlignment="1" applyProtection="1">
      <alignment wrapText="1"/>
    </xf>
    <xf numFmtId="2" fontId="22" fillId="0" borderId="24" xfId="0" applyNumberFormat="1" applyFont="1" applyBorder="1" applyProtection="1"/>
    <xf numFmtId="0" fontId="0" fillId="0" borderId="24" xfId="0" applyFont="1" applyBorder="1" applyProtection="1"/>
    <xf numFmtId="0" fontId="24" fillId="0" borderId="24" xfId="0" applyFont="1" applyFill="1" applyBorder="1" applyProtection="1"/>
    <xf numFmtId="0" fontId="0" fillId="0" borderId="39" xfId="0" applyFont="1" applyBorder="1" applyProtection="1"/>
    <xf numFmtId="0" fontId="25" fillId="0" borderId="0" xfId="0" applyFont="1" applyFill="1" applyBorder="1" applyAlignment="1" applyProtection="1">
      <alignment horizontal="center" wrapText="1"/>
    </xf>
    <xf numFmtId="0" fontId="0" fillId="0" borderId="0" xfId="0" applyFont="1" applyAlignment="1" applyProtection="1">
      <alignment horizontal="center"/>
    </xf>
    <xf numFmtId="0" fontId="23" fillId="0" borderId="0" xfId="0" applyFont="1" applyAlignment="1" applyProtection="1">
      <alignment horizontal="center"/>
    </xf>
    <xf numFmtId="0" fontId="26" fillId="0" borderId="36" xfId="0" applyFont="1" applyBorder="1" applyProtection="1"/>
    <xf numFmtId="0" fontId="7" fillId="0" borderId="1" xfId="0" applyFont="1" applyBorder="1" applyAlignment="1" applyProtection="1">
      <alignment wrapText="1"/>
    </xf>
    <xf numFmtId="0" fontId="25" fillId="0" borderId="1" xfId="0" applyFont="1" applyFill="1" applyBorder="1" applyAlignment="1" applyProtection="1">
      <alignment wrapText="1"/>
    </xf>
    <xf numFmtId="0" fontId="25" fillId="0" borderId="19" xfId="0" applyFont="1" applyFill="1" applyBorder="1" applyAlignment="1" applyProtection="1">
      <alignment wrapText="1"/>
    </xf>
    <xf numFmtId="2" fontId="24" fillId="2" borderId="16" xfId="0" applyNumberFormat="1" applyFont="1" applyFill="1" applyBorder="1" applyProtection="1">
      <protection locked="0"/>
    </xf>
    <xf numFmtId="0" fontId="38" fillId="2" borderId="16" xfId="0" applyFont="1" applyFill="1" applyBorder="1" applyAlignment="1" applyProtection="1">
      <alignment horizontal="center" vertical="center"/>
      <protection locked="0"/>
    </xf>
    <xf numFmtId="2" fontId="24" fillId="2" borderId="16" xfId="0" applyNumberFormat="1" applyFont="1" applyFill="1" applyBorder="1" applyAlignment="1" applyProtection="1">
      <alignment horizontal="center"/>
    </xf>
    <xf numFmtId="2" fontId="24" fillId="2" borderId="16" xfId="0" applyNumberFormat="1" applyFont="1" applyFill="1" applyBorder="1" applyAlignment="1" applyProtection="1">
      <alignment horizontal="center" wrapText="1"/>
    </xf>
    <xf numFmtId="0" fontId="24" fillId="2" borderId="16" xfId="0" applyFont="1" applyFill="1" applyBorder="1" applyProtection="1"/>
    <xf numFmtId="0" fontId="24" fillId="2" borderId="16" xfId="0" applyFont="1" applyFill="1" applyBorder="1" applyAlignment="1" applyProtection="1">
      <alignment vertical="center"/>
    </xf>
    <xf numFmtId="2" fontId="23" fillId="0" borderId="39" xfId="0" applyNumberFormat="1" applyFont="1" applyFill="1" applyBorder="1"/>
    <xf numFmtId="2" fontId="24" fillId="2" borderId="16" xfId="0" applyNumberFormat="1" applyFont="1" applyFill="1" applyBorder="1" applyProtection="1"/>
    <xf numFmtId="2" fontId="24" fillId="2" borderId="16" xfId="0" applyNumberFormat="1" applyFont="1" applyFill="1" applyBorder="1" applyAlignment="1" applyProtection="1">
      <alignment wrapText="1"/>
    </xf>
    <xf numFmtId="171" fontId="24" fillId="2" borderId="16" xfId="0" applyNumberFormat="1" applyFont="1" applyFill="1" applyBorder="1" applyProtection="1"/>
    <xf numFmtId="3" fontId="24" fillId="2" borderId="16" xfId="0" applyNumberFormat="1" applyFont="1" applyFill="1" applyBorder="1" applyProtection="1"/>
    <xf numFmtId="171" fontId="23" fillId="0" borderId="16" xfId="0" applyNumberFormat="1" applyFont="1" applyFill="1" applyBorder="1"/>
    <xf numFmtId="0" fontId="18" fillId="0" borderId="0" xfId="0" applyFont="1" applyBorder="1" applyAlignment="1">
      <alignment horizontal="right" wrapText="1"/>
    </xf>
    <xf numFmtId="2" fontId="23" fillId="0" borderId="0" xfId="0" applyNumberFormat="1" applyFont="1" applyBorder="1"/>
    <xf numFmtId="2" fontId="23" fillId="0" borderId="0" xfId="0" applyNumberFormat="1" applyFont="1" applyAlignment="1" applyProtection="1">
      <alignment vertical="center"/>
    </xf>
    <xf numFmtId="0" fontId="71" fillId="0" borderId="0" xfId="11"/>
    <xf numFmtId="0" fontId="72" fillId="0" borderId="0" xfId="0" applyFont="1"/>
    <xf numFmtId="9" fontId="0" fillId="0" borderId="0" xfId="13" applyFont="1"/>
    <xf numFmtId="164" fontId="0" fillId="0" borderId="0" xfId="12" applyFont="1"/>
    <xf numFmtId="164" fontId="0" fillId="0" borderId="0" xfId="0" applyNumberFormat="1"/>
    <xf numFmtId="0" fontId="58" fillId="0" borderId="48" xfId="0" applyFont="1" applyBorder="1" applyAlignment="1">
      <alignment horizontal="left" vertical="top" wrapText="1"/>
    </xf>
    <xf numFmtId="0" fontId="58" fillId="0" borderId="17" xfId="0" applyFont="1" applyBorder="1" applyAlignment="1">
      <alignment horizontal="left" vertical="top" wrapText="1"/>
    </xf>
    <xf numFmtId="0" fontId="18" fillId="0" borderId="0" xfId="0" applyFont="1"/>
    <xf numFmtId="0" fontId="18" fillId="0" borderId="18" xfId="0" applyFont="1" applyBorder="1"/>
    <xf numFmtId="0" fontId="26" fillId="3" borderId="10" xfId="0" applyFont="1" applyFill="1" applyBorder="1" applyAlignment="1">
      <alignment vertical="center" wrapText="1"/>
    </xf>
    <xf numFmtId="0" fontId="26" fillId="3" borderId="11" xfId="0" applyFont="1" applyFill="1" applyBorder="1" applyAlignment="1">
      <alignment vertical="center" wrapText="1"/>
    </xf>
    <xf numFmtId="0" fontId="26" fillId="3" borderId="12" xfId="0" applyFont="1" applyFill="1" applyBorder="1" applyAlignment="1">
      <alignment vertical="center" wrapText="1"/>
    </xf>
    <xf numFmtId="0" fontId="33" fillId="3" borderId="10" xfId="0" applyFont="1" applyFill="1" applyBorder="1" applyAlignment="1" applyProtection="1">
      <alignment horizontal="left" vertical="top" wrapText="1"/>
    </xf>
    <xf numFmtId="0" fontId="33" fillId="3" borderId="11" xfId="0" applyFont="1" applyFill="1" applyBorder="1" applyAlignment="1" applyProtection="1">
      <alignment horizontal="left" vertical="top" wrapText="1"/>
    </xf>
    <xf numFmtId="0" fontId="0" fillId="0" borderId="11" xfId="0" applyBorder="1" applyAlignment="1">
      <alignment wrapText="1"/>
    </xf>
    <xf numFmtId="0" fontId="0" fillId="0" borderId="12" xfId="0" applyBorder="1" applyAlignment="1">
      <alignment wrapText="1"/>
    </xf>
    <xf numFmtId="0" fontId="33" fillId="3"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wrapText="1"/>
    </xf>
    <xf numFmtId="0" fontId="26" fillId="3" borderId="2" xfId="0" applyFont="1" applyFill="1" applyBorder="1" applyAlignment="1" applyProtection="1">
      <alignment horizontal="left" wrapText="1"/>
    </xf>
    <xf numFmtId="0" fontId="0" fillId="0" borderId="3" xfId="0" applyBorder="1" applyAlignment="1">
      <alignment wrapText="1"/>
    </xf>
    <xf numFmtId="0" fontId="0" fillId="0" borderId="4"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5" xfId="0" applyBorder="1" applyAlignment="1">
      <alignment wrapText="1"/>
    </xf>
    <xf numFmtId="0" fontId="26" fillId="8" borderId="10" xfId="0" applyFont="1" applyFill="1" applyBorder="1" applyAlignment="1">
      <alignment wrapText="1"/>
    </xf>
    <xf numFmtId="0" fontId="26" fillId="8" borderId="11" xfId="0" applyFont="1" applyFill="1" applyBorder="1" applyAlignment="1">
      <alignment wrapText="1"/>
    </xf>
    <xf numFmtId="0" fontId="26" fillId="8" borderId="12" xfId="0" applyFont="1" applyFill="1" applyBorder="1" applyAlignment="1">
      <alignment wrapText="1"/>
    </xf>
    <xf numFmtId="0" fontId="19" fillId="0" borderId="0" xfId="0" applyFont="1" applyAlignment="1">
      <alignment vertical="top" wrapText="1"/>
    </xf>
    <xf numFmtId="0" fontId="0" fillId="5" borderId="0" xfId="0" applyFont="1" applyFill="1" applyAlignment="1" applyProtection="1">
      <alignment horizontal="center" wrapText="1"/>
    </xf>
    <xf numFmtId="0" fontId="26" fillId="3" borderId="10" xfId="0" applyFont="1" applyFill="1" applyBorder="1" applyAlignment="1" applyProtection="1">
      <alignment horizontal="left" vertical="top" wrapText="1"/>
    </xf>
    <xf numFmtId="0" fontId="26" fillId="3" borderId="11" xfId="0" applyFont="1" applyFill="1" applyBorder="1" applyAlignment="1" applyProtection="1">
      <alignment horizontal="left" vertical="top" wrapText="1"/>
    </xf>
    <xf numFmtId="0" fontId="0" fillId="0" borderId="16" xfId="0" applyFont="1" applyFill="1" applyBorder="1" applyAlignment="1" applyProtection="1">
      <alignment vertical="top" wrapText="1"/>
    </xf>
    <xf numFmtId="0" fontId="0" fillId="0" borderId="16" xfId="0" applyFill="1" applyBorder="1" applyProtection="1"/>
    <xf numFmtId="0" fontId="25" fillId="0" borderId="0" xfId="0" applyFont="1" applyFill="1" applyAlignment="1" applyProtection="1">
      <alignment horizontal="left" wrapText="1"/>
    </xf>
    <xf numFmtId="0" fontId="33" fillId="3" borderId="10" xfId="0" applyFont="1" applyFill="1" applyBorder="1" applyAlignment="1" applyProtection="1">
      <alignment horizontal="left" vertical="center" wrapText="1"/>
    </xf>
    <xf numFmtId="0" fontId="33" fillId="3" borderId="11" xfId="0" applyFont="1" applyFill="1" applyBorder="1" applyAlignment="1" applyProtection="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40" xfId="0" applyBorder="1" applyAlignment="1" applyProtection="1">
      <alignment horizontal="left" vertical="top" wrapText="1"/>
    </xf>
    <xf numFmtId="0" fontId="0" fillId="0" borderId="41" xfId="0" applyBorder="1" applyAlignment="1" applyProtection="1">
      <alignment horizontal="left" vertical="top"/>
    </xf>
    <xf numFmtId="0" fontId="0" fillId="0" borderId="42" xfId="0" applyBorder="1" applyAlignment="1" applyProtection="1">
      <alignment horizontal="left" vertical="top"/>
    </xf>
    <xf numFmtId="0" fontId="0" fillId="0" borderId="43" xfId="0" applyBorder="1" applyAlignment="1" applyProtection="1">
      <alignment horizontal="left" vertical="top"/>
    </xf>
    <xf numFmtId="0" fontId="0" fillId="0" borderId="0" xfId="0" applyBorder="1" applyAlignment="1" applyProtection="1">
      <alignment horizontal="left" vertical="top"/>
    </xf>
    <xf numFmtId="0" fontId="0" fillId="0" borderId="44" xfId="0" applyBorder="1" applyAlignment="1" applyProtection="1">
      <alignment horizontal="left" vertical="top"/>
    </xf>
    <xf numFmtId="0" fontId="0" fillId="0" borderId="45" xfId="0" applyBorder="1" applyAlignment="1" applyProtection="1">
      <alignment horizontal="left" vertical="top"/>
    </xf>
    <xf numFmtId="0" fontId="0" fillId="0" borderId="46" xfId="0" applyBorder="1" applyAlignment="1" applyProtection="1">
      <alignment horizontal="left" vertical="top"/>
    </xf>
    <xf numFmtId="0" fontId="0" fillId="0" borderId="47" xfId="0" applyBorder="1" applyAlignment="1" applyProtection="1">
      <alignment horizontal="left" vertical="top"/>
    </xf>
    <xf numFmtId="0" fontId="33" fillId="3" borderId="13" xfId="0" applyFont="1" applyFill="1" applyBorder="1" applyAlignment="1" applyProtection="1">
      <alignment horizontal="center" vertical="center" wrapText="1"/>
    </xf>
    <xf numFmtId="0" fontId="0" fillId="0" borderId="0" xfId="0" applyAlignment="1">
      <alignment wrapText="1"/>
    </xf>
    <xf numFmtId="0" fontId="0" fillId="0" borderId="0" xfId="0" applyBorder="1" applyAlignment="1">
      <alignment wrapText="1"/>
    </xf>
    <xf numFmtId="2" fontId="22" fillId="4" borderId="0" xfId="0" applyNumberFormat="1" applyFont="1" applyFill="1"/>
    <xf numFmtId="0" fontId="22" fillId="0" borderId="0" xfId="0" applyFont="1" applyFill="1"/>
    <xf numFmtId="0" fontId="0" fillId="0" borderId="0" xfId="0" applyFont="1"/>
    <xf numFmtId="0" fontId="22" fillId="4" borderId="0" xfId="0" applyFont="1" applyFill="1"/>
    <xf numFmtId="0" fontId="22" fillId="4" borderId="0" xfId="0" applyFont="1" applyFill="1" applyAlignment="1">
      <alignment horizontal="right"/>
    </xf>
    <xf numFmtId="0" fontId="33" fillId="3" borderId="10" xfId="0" applyFont="1" applyFill="1" applyBorder="1" applyAlignment="1">
      <alignment wrapText="1"/>
    </xf>
    <xf numFmtId="0" fontId="33" fillId="3" borderId="11" xfId="0" applyFont="1" applyFill="1" applyBorder="1" applyAlignment="1">
      <alignment wrapText="1"/>
    </xf>
    <xf numFmtId="0" fontId="33" fillId="3" borderId="12" xfId="0" applyFont="1" applyFill="1" applyBorder="1" applyAlignment="1">
      <alignment wrapText="1"/>
    </xf>
    <xf numFmtId="0" fontId="0" fillId="0" borderId="0" xfId="0"/>
    <xf numFmtId="0" fontId="33" fillId="3" borderId="6" xfId="0" applyFont="1" applyFill="1" applyBorder="1" applyAlignment="1">
      <alignment wrapText="1"/>
    </xf>
    <xf numFmtId="0" fontId="33" fillId="3" borderId="7" xfId="0" applyFont="1" applyFill="1" applyBorder="1" applyAlignment="1">
      <alignment wrapText="1"/>
    </xf>
    <xf numFmtId="0" fontId="0" fillId="0" borderId="0" xfId="0" applyFont="1" applyAlignment="1">
      <alignment horizontal="justify" vertical="center"/>
    </xf>
    <xf numFmtId="0" fontId="0" fillId="0" borderId="0" xfId="0" applyFont="1" applyAlignment="1">
      <alignment vertical="center"/>
    </xf>
  </cellXfs>
  <cellStyles count="14">
    <cellStyle name="Comma" xfId="12" builtinId="3"/>
    <cellStyle name="Comma 2" xfId="1" xr:uid="{00000000-0005-0000-0000-000000000000}"/>
    <cellStyle name="Comma 3" xfId="2" xr:uid="{00000000-0005-0000-0000-000001000000}"/>
    <cellStyle name="Hyperlink" xfId="11" builtinId="8"/>
    <cellStyle name="Hyperlink 2" xfId="3" xr:uid="{00000000-0005-0000-0000-000003000000}"/>
    <cellStyle name="Normal" xfId="0" builtinId="0"/>
    <cellStyle name="Normal 2" xfId="4" xr:uid="{00000000-0005-0000-0000-000005000000}"/>
    <cellStyle name="Normal 3" xfId="5" xr:uid="{00000000-0005-0000-0000-000006000000}"/>
    <cellStyle name="Normal 4" xfId="6" xr:uid="{00000000-0005-0000-0000-000007000000}"/>
    <cellStyle name="Percent" xfId="13" builtinId="5"/>
    <cellStyle name="Percent 2" xfId="7" xr:uid="{00000000-0005-0000-0000-000008000000}"/>
    <cellStyle name="Percent 3" xfId="8" xr:uid="{00000000-0005-0000-0000-000009000000}"/>
    <cellStyle name="Percent 4" xfId="9" xr:uid="{00000000-0005-0000-0000-00000A000000}"/>
    <cellStyle name="Título_10-06-18 AnH BioGrace GHG calculations - version 2.0.a" xfId="10" xr:uid="{00000000-0005-0000-0000-00000B000000}"/>
  </cellStyles>
  <dxfs count="0"/>
  <tableStyles count="0" defaultTableStyle="TableStyleMedium9" defaultPivotStyle="PivotStyleLight16"/>
  <colors>
    <mruColors>
      <color rgb="FF0099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a:pPr>
            <a:r>
              <a:rPr lang="en-US"/>
              <a:t>Mill emissions</a:t>
            </a:r>
          </a:p>
        </c:rich>
      </c:tx>
      <c:overlay val="0"/>
    </c:title>
    <c:autoTitleDeleted val="0"/>
    <c:plotArea>
      <c:layout/>
      <c:barChart>
        <c:barDir val="col"/>
        <c:grouping val="clustered"/>
        <c:varyColors val="0"/>
        <c:ser>
          <c:idx val="0"/>
          <c:order val="0"/>
          <c:tx>
            <c:strRef>
              <c:f>'Results Summary'!$B$35</c:f>
              <c:strCache>
                <c:ptCount val="1"/>
                <c:pt idx="0">
                  <c:v>tCO2e</c:v>
                </c:pt>
              </c:strCache>
            </c:strRef>
          </c:tx>
          <c:invertIfNegative val="0"/>
          <c:dPt>
            <c:idx val="5"/>
            <c:invertIfNegative val="0"/>
            <c:bubble3D val="0"/>
            <c:spPr>
              <a:solidFill>
                <a:schemeClr val="accent6">
                  <a:lumMod val="50000"/>
                </a:schemeClr>
              </a:solidFill>
            </c:spPr>
            <c:extLst>
              <c:ext xmlns:c16="http://schemas.microsoft.com/office/drawing/2014/chart" uri="{C3380CC4-5D6E-409C-BE32-E72D297353CC}">
                <c16:uniqueId val="{00000001-1EAA-45C3-826E-E702605B7599}"/>
              </c:ext>
            </c:extLst>
          </c:dPt>
          <c:cat>
            <c:strRef>
              <c:f>'Results Summary'!$A$36:$A$41</c:f>
              <c:strCache>
                <c:ptCount val="6"/>
                <c:pt idx="0">
                  <c:v>POME</c:v>
                </c:pt>
                <c:pt idx="1">
                  <c:v>Mill fuel</c:v>
                </c:pt>
                <c:pt idx="2">
                  <c:v>Purchased electricity </c:v>
                </c:pt>
                <c:pt idx="3">
                  <c:v>Credit (excess electricity exported)</c:v>
                </c:pt>
                <c:pt idx="4">
                  <c:v>Credit (sale of biomass for power)</c:v>
                </c:pt>
                <c:pt idx="5">
                  <c:v>Total </c:v>
                </c:pt>
              </c:strCache>
            </c:strRef>
          </c:cat>
          <c:val>
            <c:numRef>
              <c:f>'Results Summary'!$B$36:$B$41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EAA-45C3-826E-E702605B7599}"/>
            </c:ext>
          </c:extLst>
        </c:ser>
        <c:dLbls>
          <c:showLegendKey val="0"/>
          <c:showVal val="0"/>
          <c:showCatName val="0"/>
          <c:showSerName val="0"/>
          <c:showPercent val="0"/>
          <c:showBubbleSize val="0"/>
        </c:dLbls>
        <c:gapWidth val="150"/>
        <c:axId val="198273448"/>
        <c:axId val="198273840"/>
      </c:barChart>
      <c:catAx>
        <c:axId val="198273448"/>
        <c:scaling>
          <c:orientation val="minMax"/>
        </c:scaling>
        <c:delete val="0"/>
        <c:axPos val="b"/>
        <c:numFmt formatCode="General" sourceLinked="0"/>
        <c:majorTickMark val="none"/>
        <c:minorTickMark val="none"/>
        <c:tickLblPos val="nextTo"/>
        <c:crossAx val="198273840"/>
        <c:crosses val="autoZero"/>
        <c:auto val="1"/>
        <c:lblAlgn val="ctr"/>
        <c:lblOffset val="100"/>
        <c:noMultiLvlLbl val="0"/>
      </c:catAx>
      <c:valAx>
        <c:axId val="198273840"/>
        <c:scaling>
          <c:orientation val="minMax"/>
        </c:scaling>
        <c:delete val="0"/>
        <c:axPos val="l"/>
        <c:title>
          <c:tx>
            <c:rich>
              <a:bodyPr/>
              <a:lstStyle/>
              <a:p>
                <a:pPr>
                  <a:defRPr/>
                </a:pPr>
                <a:r>
                  <a:rPr lang="en-MY"/>
                  <a:t>tCO2e</a:t>
                </a:r>
              </a:p>
            </c:rich>
          </c:tx>
          <c:overlay val="0"/>
        </c:title>
        <c:numFmt formatCode="#,##0.00" sourceLinked="1"/>
        <c:majorTickMark val="out"/>
        <c:minorTickMark val="none"/>
        <c:tickLblPos val="nextTo"/>
        <c:crossAx val="1982734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a:pPr>
            <a:r>
              <a:rPr lang="en-US"/>
              <a:t>Field emissions</a:t>
            </a:r>
          </a:p>
        </c:rich>
      </c:tx>
      <c:overlay val="0"/>
    </c:title>
    <c:autoTitleDeleted val="0"/>
    <c:plotArea>
      <c:layout/>
      <c:barChart>
        <c:barDir val="col"/>
        <c:grouping val="clustered"/>
        <c:varyColors val="0"/>
        <c:ser>
          <c:idx val="0"/>
          <c:order val="0"/>
          <c:invertIfNegative val="0"/>
          <c:dPt>
            <c:idx val="7"/>
            <c:invertIfNegative val="0"/>
            <c:bubble3D val="0"/>
            <c:spPr>
              <a:solidFill>
                <a:schemeClr val="accent3">
                  <a:lumMod val="75000"/>
                </a:schemeClr>
              </a:solidFill>
            </c:spPr>
            <c:extLst>
              <c:ext xmlns:c16="http://schemas.microsoft.com/office/drawing/2014/chart" uri="{C3380CC4-5D6E-409C-BE32-E72D297353CC}">
                <c16:uniqueId val="{00000001-FCAF-42D8-98B9-8037F101F598}"/>
              </c:ext>
            </c:extLst>
          </c:dPt>
          <c:dPt>
            <c:idx val="9"/>
            <c:invertIfNegative val="0"/>
            <c:bubble3D val="0"/>
            <c:spPr>
              <a:solidFill>
                <a:schemeClr val="accent3">
                  <a:lumMod val="50000"/>
                </a:schemeClr>
              </a:solidFill>
            </c:spPr>
            <c:extLst>
              <c:ext xmlns:c16="http://schemas.microsoft.com/office/drawing/2014/chart" uri="{C3380CC4-5D6E-409C-BE32-E72D297353CC}">
                <c16:uniqueId val="{00000003-FCAF-42D8-98B9-8037F101F598}"/>
              </c:ext>
            </c:extLst>
          </c:dPt>
          <c:cat>
            <c:strRef>
              <c:f>'Results Summary'!$G$63:$G$68</c:f>
              <c:strCache>
                <c:ptCount val="6"/>
                <c:pt idx="0">
                  <c:v>Land clearing</c:v>
                </c:pt>
                <c:pt idx="1">
                  <c:v>Crop sequestration</c:v>
                </c:pt>
                <c:pt idx="2">
                  <c:v>Fertilisers &amp; N2O</c:v>
                </c:pt>
                <c:pt idx="3">
                  <c:v>Field fuel</c:v>
                </c:pt>
                <c:pt idx="4">
                  <c:v>Peat </c:v>
                </c:pt>
                <c:pt idx="5">
                  <c:v>Conservation credit</c:v>
                </c:pt>
              </c:strCache>
            </c:strRef>
          </c:cat>
          <c:val>
            <c:numRef>
              <c:f>'Results Summary'!$H$63:$H$68</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FCAF-42D8-98B9-8037F101F598}"/>
            </c:ext>
          </c:extLst>
        </c:ser>
        <c:dLbls>
          <c:showLegendKey val="0"/>
          <c:showVal val="0"/>
          <c:showCatName val="0"/>
          <c:showSerName val="0"/>
          <c:showPercent val="0"/>
          <c:showBubbleSize val="0"/>
        </c:dLbls>
        <c:gapWidth val="150"/>
        <c:axId val="198273056"/>
        <c:axId val="709972392"/>
        <c:extLst/>
      </c:barChart>
      <c:catAx>
        <c:axId val="198273056"/>
        <c:scaling>
          <c:orientation val="minMax"/>
        </c:scaling>
        <c:delete val="0"/>
        <c:axPos val="b"/>
        <c:numFmt formatCode="General" sourceLinked="0"/>
        <c:majorTickMark val="none"/>
        <c:minorTickMark val="none"/>
        <c:tickLblPos val="nextTo"/>
        <c:txPr>
          <a:bodyPr rot="-2700000" vert="horz"/>
          <a:lstStyle/>
          <a:p>
            <a:pPr>
              <a:defRPr/>
            </a:pPr>
            <a:endParaRPr lang="en-US"/>
          </a:p>
        </c:txPr>
        <c:crossAx val="709972392"/>
        <c:crosses val="autoZero"/>
        <c:auto val="0"/>
        <c:lblAlgn val="ctr"/>
        <c:lblOffset val="100"/>
        <c:noMultiLvlLbl val="0"/>
      </c:catAx>
      <c:valAx>
        <c:axId val="709972392"/>
        <c:scaling>
          <c:orientation val="minMax"/>
        </c:scaling>
        <c:delete val="0"/>
        <c:axPos val="l"/>
        <c:title>
          <c:tx>
            <c:rich>
              <a:bodyPr/>
              <a:lstStyle/>
              <a:p>
                <a:pPr>
                  <a:defRPr/>
                </a:pPr>
                <a:r>
                  <a:rPr lang="en-US"/>
                  <a:t>tCO2e</a:t>
                </a:r>
              </a:p>
            </c:rich>
          </c:tx>
          <c:overlay val="0"/>
        </c:title>
        <c:numFmt formatCode="#,##0.00" sourceLinked="1"/>
        <c:majorTickMark val="out"/>
        <c:minorTickMark val="none"/>
        <c:tickLblPos val="nextTo"/>
        <c:crossAx val="198273056"/>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t>Emission sources/sinks</a:t>
            </a:r>
          </a:p>
        </c:rich>
      </c:tx>
      <c:overlay val="0"/>
    </c:title>
    <c:autoTitleDeleted val="0"/>
    <c:plotArea>
      <c:layout>
        <c:manualLayout>
          <c:layoutTarget val="inner"/>
          <c:xMode val="edge"/>
          <c:yMode val="edge"/>
          <c:x val="0.12765685994766363"/>
          <c:y val="2.2384302856712099E-2"/>
          <c:w val="0.85309554865348836"/>
          <c:h val="0.75165906727161447"/>
        </c:manualLayout>
      </c:layout>
      <c:barChart>
        <c:barDir val="col"/>
        <c:grouping val="clustered"/>
        <c:varyColors val="0"/>
        <c:ser>
          <c:idx val="0"/>
          <c:order val="0"/>
          <c:tx>
            <c:strRef>
              <c:f>'Results Summary'!$H$28</c:f>
              <c:strCache>
                <c:ptCount val="1"/>
                <c:pt idx="0">
                  <c:v>tCO2e</c:v>
                </c:pt>
              </c:strCache>
            </c:strRef>
          </c:tx>
          <c:spPr>
            <a:solidFill>
              <a:schemeClr val="accent2"/>
            </a:solidFill>
          </c:spPr>
          <c:invertIfNegative val="0"/>
          <c:dPt>
            <c:idx val="1"/>
            <c:invertIfNegative val="0"/>
            <c:bubble3D val="0"/>
            <c:spPr>
              <a:solidFill>
                <a:srgbClr val="00B050"/>
              </a:solidFill>
            </c:spPr>
            <c:extLst>
              <c:ext xmlns:c16="http://schemas.microsoft.com/office/drawing/2014/chart" uri="{C3380CC4-5D6E-409C-BE32-E72D297353CC}">
                <c16:uniqueId val="{00000001-972E-44DD-BD27-D4C3FC1589F9}"/>
              </c:ext>
            </c:extLst>
          </c:dPt>
          <c:dPt>
            <c:idx val="6"/>
            <c:invertIfNegative val="0"/>
            <c:bubble3D val="0"/>
            <c:spPr>
              <a:solidFill>
                <a:srgbClr val="00B050"/>
              </a:solidFill>
            </c:spPr>
            <c:extLst>
              <c:ext xmlns:c16="http://schemas.microsoft.com/office/drawing/2014/chart" uri="{C3380CC4-5D6E-409C-BE32-E72D297353CC}">
                <c16:uniqueId val="{00000003-972E-44DD-BD27-D4C3FC1589F9}"/>
              </c:ext>
            </c:extLst>
          </c:dPt>
          <c:dPt>
            <c:idx val="9"/>
            <c:invertIfNegative val="0"/>
            <c:bubble3D val="0"/>
            <c:spPr>
              <a:solidFill>
                <a:srgbClr val="00B050"/>
              </a:solidFill>
            </c:spPr>
            <c:extLst>
              <c:ext xmlns:c16="http://schemas.microsoft.com/office/drawing/2014/chart" uri="{C3380CC4-5D6E-409C-BE32-E72D297353CC}">
                <c16:uniqueId val="{00000005-972E-44DD-BD27-D4C3FC1589F9}"/>
              </c:ext>
            </c:extLst>
          </c:dPt>
          <c:dPt>
            <c:idx val="10"/>
            <c:invertIfNegative val="0"/>
            <c:bubble3D val="0"/>
            <c:spPr>
              <a:solidFill>
                <a:schemeClr val="tx2"/>
              </a:solidFill>
            </c:spPr>
            <c:extLst>
              <c:ext xmlns:c16="http://schemas.microsoft.com/office/drawing/2014/chart" uri="{C3380CC4-5D6E-409C-BE32-E72D297353CC}">
                <c16:uniqueId val="{00000007-972E-44DD-BD27-D4C3FC1589F9}"/>
              </c:ext>
            </c:extLst>
          </c:dPt>
          <c:cat>
            <c:strRef>
              <c:f>'Results Summary'!$G$29:$G$37</c:f>
              <c:strCache>
                <c:ptCount val="9"/>
                <c:pt idx="0">
                  <c:v>Land clearing</c:v>
                </c:pt>
                <c:pt idx="1">
                  <c:v>Crop sequestration</c:v>
                </c:pt>
                <c:pt idx="2">
                  <c:v>Peat </c:v>
                </c:pt>
                <c:pt idx="3">
                  <c:v>Fertilisers &amp; N2O</c:v>
                </c:pt>
                <c:pt idx="4">
                  <c:v>Conservation credit</c:v>
                </c:pt>
                <c:pt idx="5">
                  <c:v>POME</c:v>
                </c:pt>
                <c:pt idx="6">
                  <c:v>Fuel (mill &amp; field)</c:v>
                </c:pt>
                <c:pt idx="7">
                  <c:v>Purchased electricity </c:v>
                </c:pt>
                <c:pt idx="8">
                  <c:v>Credit (electricity &amp; biomass)</c:v>
                </c:pt>
              </c:strCache>
            </c:strRef>
          </c:cat>
          <c:val>
            <c:numRef>
              <c:f>'Results Summary'!$H$29:$H$37</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8-972E-44DD-BD27-D4C3FC1589F9}"/>
            </c:ext>
          </c:extLst>
        </c:ser>
        <c:dLbls>
          <c:showLegendKey val="0"/>
          <c:showVal val="0"/>
          <c:showCatName val="0"/>
          <c:showSerName val="0"/>
          <c:showPercent val="0"/>
          <c:showBubbleSize val="0"/>
        </c:dLbls>
        <c:gapWidth val="150"/>
        <c:axId val="709973176"/>
        <c:axId val="709973568"/>
      </c:barChart>
      <c:catAx>
        <c:axId val="709973176"/>
        <c:scaling>
          <c:orientation val="minMax"/>
        </c:scaling>
        <c:delete val="0"/>
        <c:axPos val="b"/>
        <c:numFmt formatCode="General" sourceLinked="0"/>
        <c:majorTickMark val="none"/>
        <c:minorTickMark val="none"/>
        <c:tickLblPos val="nextTo"/>
        <c:crossAx val="709973568"/>
        <c:crosses val="autoZero"/>
        <c:auto val="1"/>
        <c:lblAlgn val="ctr"/>
        <c:lblOffset val="100"/>
        <c:noMultiLvlLbl val="0"/>
      </c:catAx>
      <c:valAx>
        <c:axId val="709973568"/>
        <c:scaling>
          <c:orientation val="minMax"/>
        </c:scaling>
        <c:delete val="0"/>
        <c:axPos val="l"/>
        <c:majorGridlines/>
        <c:title>
          <c:tx>
            <c:rich>
              <a:bodyPr/>
              <a:lstStyle/>
              <a:p>
                <a:pPr>
                  <a:defRPr/>
                </a:pPr>
                <a:r>
                  <a:rPr lang="en-MY"/>
                  <a:t>tCO2e</a:t>
                </a:r>
              </a:p>
            </c:rich>
          </c:tx>
          <c:overlay val="0"/>
        </c:title>
        <c:numFmt formatCode="#,##0" sourceLinked="1"/>
        <c:majorTickMark val="none"/>
        <c:minorTickMark val="none"/>
        <c:tickLblPos val="nextTo"/>
        <c:crossAx val="70997317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solidFill>
                  <a:schemeClr val="tx1"/>
                </a:solidFill>
              </a:rPr>
              <a:t>Field emissions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spPr>
            <a:solidFill>
              <a:srgbClr val="00B0F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'Results Summary'!$H$4:$H$9</c:f>
              <c:strCache>
                <c:ptCount val="6"/>
                <c:pt idx="0">
                  <c:v>Land clearing</c:v>
                </c:pt>
                <c:pt idx="1">
                  <c:v>Crop sequestration</c:v>
                </c:pt>
                <c:pt idx="2">
                  <c:v>Fertilisers &amp; N2O</c:v>
                </c:pt>
                <c:pt idx="3">
                  <c:v>Field fuel</c:v>
                </c:pt>
                <c:pt idx="4">
                  <c:v>Peat </c:v>
                </c:pt>
                <c:pt idx="5">
                  <c:v>Conservation credit</c:v>
                </c:pt>
              </c:strCache>
            </c:strRef>
          </c:cat>
          <c:val>
            <c:numRef>
              <c:f>'Results Summary'!$I$4:$I$9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9D1-48E6-9EAF-E46CA315C4A5}"/>
            </c:ext>
          </c:extLst>
        </c:ser>
        <c:dLbls>
          <c:showLegendKey val="0"/>
          <c:showVal val="0"/>
          <c:showCatName val="0"/>
          <c:showSerName val="0"/>
          <c:showPercent val="0"/>
          <c:showBubbleSize val="0"/>
        </c:dLbls>
        <c:gapWidth val="100"/>
        <c:overlap val="-24"/>
        <c:axId val="474652232"/>
        <c:axId val="474652624"/>
      </c:barChart>
      <c:catAx>
        <c:axId val="4746522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4652624"/>
        <c:crosses val="autoZero"/>
        <c:auto val="1"/>
        <c:lblAlgn val="ctr"/>
        <c:lblOffset val="100"/>
        <c:noMultiLvlLbl val="0"/>
      </c:catAx>
      <c:valAx>
        <c:axId val="4746526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solidFill>
                    <a:latin typeface="+mn-lt"/>
                    <a:ea typeface="+mn-ea"/>
                    <a:cs typeface="+mn-cs"/>
                  </a:defRPr>
                </a:pPr>
                <a:r>
                  <a:rPr lang="en-US" b="1">
                    <a:solidFill>
                      <a:schemeClr val="tx1"/>
                    </a:solidFill>
                  </a:rPr>
                  <a:t>tCO2e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4746522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785813</xdr:colOff>
      <xdr:row>43</xdr:row>
      <xdr:rowOff>157163</xdr:rowOff>
    </xdr:from>
    <xdr:to>
      <xdr:col>13</xdr:col>
      <xdr:colOff>342900</xdr:colOff>
      <xdr:row>59</xdr:row>
      <xdr:rowOff>28574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752474</xdr:colOff>
      <xdr:row>60</xdr:row>
      <xdr:rowOff>161925</xdr:rowOff>
    </xdr:from>
    <xdr:to>
      <xdr:col>13</xdr:col>
      <xdr:colOff>338137</xdr:colOff>
      <xdr:row>79</xdr:row>
      <xdr:rowOff>166687</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9524</xdr:colOff>
      <xdr:row>24</xdr:row>
      <xdr:rowOff>9525</xdr:rowOff>
    </xdr:from>
    <xdr:to>
      <xdr:col>13</xdr:col>
      <xdr:colOff>400050</xdr:colOff>
      <xdr:row>41</xdr:row>
      <xdr:rowOff>166687</xdr:rowOff>
    </xdr:to>
    <xdr:graphicFrame macro="">
      <xdr:nvGraphicFramePr>
        <xdr:cNvPr id="9" name="Chart 8">
          <a:extLst>
            <a:ext uri="{FF2B5EF4-FFF2-40B4-BE49-F238E27FC236}">
              <a16:creationId xmlns:a16="http://schemas.microsoft.com/office/drawing/2014/main" id="{00000000-0008-0000-03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9524</xdr:colOff>
      <xdr:row>0</xdr:row>
      <xdr:rowOff>176211</xdr:rowOff>
    </xdr:from>
    <xdr:to>
      <xdr:col>12</xdr:col>
      <xdr:colOff>1143000</xdr:colOff>
      <xdr:row>17</xdr:row>
      <xdr:rowOff>85724</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95251</xdr:colOff>
      <xdr:row>9</xdr:row>
      <xdr:rowOff>133349</xdr:rowOff>
    </xdr:from>
    <xdr:to>
      <xdr:col>6</xdr:col>
      <xdr:colOff>1676401</xdr:colOff>
      <xdr:row>14</xdr:row>
      <xdr:rowOff>28574</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4438651" y="2790824"/>
          <a:ext cx="4895850" cy="847725"/>
        </a:xfrm>
        <a:prstGeom prst="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07000"/>
            </a:lnSpc>
            <a:spcAft>
              <a:spcPts val="0"/>
            </a:spcAft>
          </a:pPr>
          <a:r>
            <a:rPr lang="en-MY" sz="1100" b="1">
              <a:solidFill>
                <a:srgbClr val="FF0000"/>
              </a:solidFill>
              <a:effectLst/>
              <a:ea typeface="Calibri" panose="020F0502020204030204" pitchFamily="34" charset="0"/>
              <a:cs typeface="Times New Roman" panose="02020603050405020304" pitchFamily="18" charset="0"/>
            </a:rPr>
            <a:t>IMPORTANT NOTE TO USERS: </a:t>
          </a:r>
        </a:p>
        <a:p>
          <a:pPr>
            <a:lnSpc>
              <a:spcPct val="107000"/>
            </a:lnSpc>
            <a:spcAft>
              <a:spcPts val="0"/>
            </a:spcAft>
          </a:pPr>
          <a:r>
            <a:rPr lang="en-MY" sz="1100">
              <a:solidFill>
                <a:srgbClr val="000000"/>
              </a:solidFill>
              <a:effectLst/>
              <a:ea typeface="Calibri" panose="020F0502020204030204" pitchFamily="34" charset="0"/>
              <a:cs typeface="Times New Roman" panose="02020603050405020304" pitchFamily="18" charset="0"/>
            </a:rPr>
            <a:t>Please assume vigorous growth for oil palm only if this is a commercial scale operation. For smallholders, please use the average growth assumption for oil palm</a:t>
          </a:r>
          <a:endParaRPr lang="en-MY" sz="1100">
            <a:effectLst/>
            <a:ea typeface="Calibri" panose="020F0502020204030204" pitchFamily="34"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123824</xdr:colOff>
      <xdr:row>6</xdr:row>
      <xdr:rowOff>85725</xdr:rowOff>
    </xdr:from>
    <xdr:to>
      <xdr:col>21</xdr:col>
      <xdr:colOff>314325</xdr:colOff>
      <xdr:row>23</xdr:row>
      <xdr:rowOff>66674</xdr:rowOff>
    </xdr:to>
    <xdr:sp macro="" textlink="">
      <xdr:nvSpPr>
        <xdr:cNvPr id="2" name="Rectangle 1">
          <a:extLst>
            <a:ext uri="{FF2B5EF4-FFF2-40B4-BE49-F238E27FC236}">
              <a16:creationId xmlns:a16="http://schemas.microsoft.com/office/drawing/2014/main" id="{00000000-0008-0000-0700-000002000000}"/>
            </a:ext>
          </a:extLst>
        </xdr:cNvPr>
        <xdr:cNvSpPr/>
      </xdr:nvSpPr>
      <xdr:spPr>
        <a:xfrm>
          <a:off x="5286374" y="1943100"/>
          <a:ext cx="7124701" cy="3676649"/>
        </a:xfrm>
        <a:prstGeom prst="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en-MY" sz="1200" b="1">
              <a:solidFill>
                <a:srgbClr val="000000"/>
              </a:solidFill>
              <a:effectLst/>
              <a:ea typeface="Calibri" panose="020F0502020204030204" pitchFamily="34" charset="0"/>
              <a:cs typeface="Calibri" panose="020F0502020204030204" pitchFamily="34" charset="0"/>
            </a:rPr>
            <a:t>Guiding text on water table management for Palm GHG </a:t>
          </a:r>
          <a:r>
            <a:rPr lang="en-MY" sz="1200">
              <a:solidFill>
                <a:srgbClr val="000000"/>
              </a:solidFill>
              <a:effectLst/>
              <a:ea typeface="Calibri" panose="020F0502020204030204" pitchFamily="34" charset="0"/>
              <a:cs typeface="Calibri" panose="020F0502020204030204" pitchFamily="34" charset="0"/>
            </a:rPr>
            <a:t> </a:t>
          </a:r>
        </a:p>
        <a:p>
          <a:pPr>
            <a:spcAft>
              <a:spcPts val="0"/>
            </a:spcAft>
          </a:pPr>
          <a:r>
            <a:rPr lang="en-MY" sz="1100">
              <a:solidFill>
                <a:srgbClr val="000000"/>
              </a:solidFill>
              <a:effectLst/>
              <a:ea typeface="Calibri" panose="020F0502020204030204" pitchFamily="34" charset="0"/>
              <a:cs typeface="Calibri" panose="020F0502020204030204" pitchFamily="34" charset="0"/>
            </a:rPr>
            <a:t>In order to provide some clarity and assistance to companies and auditors on the usage of the default values provided, the Peat subgroup within the Emissions Reduction Working Group (ERWG) has provided the guidance text below. The ERWG encourages the usage of actual measurements from the field rather than the use of defaults for better estimation of emissions.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Good water management </a:t>
          </a:r>
          <a:r>
            <a:rPr lang="en-MY" sz="1100">
              <a:solidFill>
                <a:srgbClr val="000000"/>
              </a:solidFill>
              <a:effectLst/>
              <a:ea typeface="Calibri" panose="020F0502020204030204" pitchFamily="34" charset="0"/>
              <a:cs typeface="Calibri" panose="020F0502020204030204" pitchFamily="34" charset="0"/>
            </a:rPr>
            <a:t>will include the following: Water control structures placed in such a way as to have one stop-off/weir for every 20cm drop in elevation (i.e. the drop across the face of the stop-off should be not more than 20cm) where possible. Water management and monitoring plan should be in place and water monitoring undertaken and results recorded at least once per month. There should be demonstrated management response based on monitoring to ensure that water levels are maintained in the range 50-70 cm below surface in collection drains and 40-60cm in piezometers/field drains.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a:solidFill>
                <a:srgbClr val="000000"/>
              </a:solidFill>
              <a:effectLst/>
              <a:ea typeface="Calibri" panose="020F0502020204030204" pitchFamily="34" charset="0"/>
              <a:cs typeface="Calibri" panose="020F0502020204030204" pitchFamily="34" charset="0"/>
            </a:rPr>
            <a:t>The default measurement for good water management in PalmGHG is 60 cm.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Partial water management </a:t>
          </a:r>
          <a:r>
            <a:rPr lang="en-MY" sz="1100">
              <a:solidFill>
                <a:srgbClr val="000000"/>
              </a:solidFill>
              <a:effectLst/>
              <a:ea typeface="Calibri" panose="020F0502020204030204" pitchFamily="34" charset="0"/>
              <a:cs typeface="Calibri" panose="020F0502020204030204" pitchFamily="34" charset="0"/>
            </a:rPr>
            <a:t>will involve water control structures and monitoring program in place but not adequate to meet standards for good management and ensure water levels on between 50-70 cm in collector drain and 40-60 cm in field.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a:solidFill>
                <a:srgbClr val="000000"/>
              </a:solidFill>
              <a:effectLst/>
              <a:ea typeface="Calibri" panose="020F0502020204030204" pitchFamily="34" charset="0"/>
              <a:cs typeface="Calibri" panose="020F0502020204030204" pitchFamily="34" charset="0"/>
            </a:rPr>
            <a:t>The default measurement for partial water management in PalmGHG is 75 cm.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 </a:t>
          </a:r>
          <a:endParaRPr lang="en-MY" sz="1200">
            <a:solidFill>
              <a:srgbClr val="000000"/>
            </a:solidFill>
            <a:effectLst/>
            <a:ea typeface="Calibri" panose="020F0502020204030204" pitchFamily="34" charset="0"/>
            <a:cs typeface="Calibri" panose="020F0502020204030204" pitchFamily="34" charset="0"/>
          </a:endParaRPr>
        </a:p>
        <a:p>
          <a:pPr>
            <a:spcAft>
              <a:spcPts val="0"/>
            </a:spcAft>
          </a:pPr>
          <a:r>
            <a:rPr lang="en-MY" sz="1100" b="1">
              <a:solidFill>
                <a:srgbClr val="000000"/>
              </a:solidFill>
              <a:effectLst/>
              <a:ea typeface="Calibri" panose="020F0502020204030204" pitchFamily="34" charset="0"/>
              <a:cs typeface="Calibri" panose="020F0502020204030204" pitchFamily="34" charset="0"/>
            </a:rPr>
            <a:t>No water management </a:t>
          </a:r>
          <a:r>
            <a:rPr lang="en-MY" sz="1100">
              <a:solidFill>
                <a:srgbClr val="000000"/>
              </a:solidFill>
              <a:effectLst/>
              <a:ea typeface="Calibri" panose="020F0502020204030204" pitchFamily="34" charset="0"/>
              <a:cs typeface="Calibri" panose="020F0502020204030204" pitchFamily="34" charset="0"/>
            </a:rPr>
            <a:t>will include either no water control structures or no monitoring program. </a:t>
          </a:r>
          <a:r>
            <a:rPr lang="en-MY" sz="1100">
              <a:effectLst/>
              <a:ea typeface="Calibri" panose="020F0502020204030204" pitchFamily="34" charset="0"/>
              <a:cs typeface="Times New Roman" panose="02020603050405020304" pitchFamily="18" charset="0"/>
            </a:rPr>
            <a:t>e default measurement for no water management in PalmGHG is 100 cm.</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76200</xdr:colOff>
      <xdr:row>11</xdr:row>
      <xdr:rowOff>133350</xdr:rowOff>
    </xdr:from>
    <xdr:to>
      <xdr:col>9</xdr:col>
      <xdr:colOff>971550</xdr:colOff>
      <xdr:row>16</xdr:row>
      <xdr:rowOff>142875</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9848850" y="2733675"/>
          <a:ext cx="1828800" cy="10477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MY" sz="1100">
              <a:solidFill>
                <a:schemeClr val="tx1"/>
              </a:solidFill>
            </a:rPr>
            <a:t>Need to</a:t>
          </a:r>
          <a:r>
            <a:rPr lang="en-MY" sz="1100" baseline="0">
              <a:solidFill>
                <a:schemeClr val="tx1"/>
              </a:solidFill>
            </a:rPr>
            <a:t> insert an advisory note here to include the emission factor for biodiesel and bioethanol based on blend and feedstock</a:t>
          </a:r>
          <a:r>
            <a:rPr lang="en-MY" sz="1100"/>
            <a:t>e</a:t>
          </a:r>
        </a:p>
      </xdr:txBody>
    </xdr:sp>
    <xdr:clientData/>
  </xdr:twoCellAnchor>
  <xdr:twoCellAnchor>
    <xdr:from>
      <xdr:col>2</xdr:col>
      <xdr:colOff>28575</xdr:colOff>
      <xdr:row>40</xdr:row>
      <xdr:rowOff>219075</xdr:rowOff>
    </xdr:from>
    <xdr:to>
      <xdr:col>5</xdr:col>
      <xdr:colOff>285750</xdr:colOff>
      <xdr:row>63</xdr:row>
      <xdr:rowOff>9525</xdr:rowOff>
    </xdr:to>
    <xdr:cxnSp macro="">
      <xdr:nvCxnSpPr>
        <xdr:cNvPr id="4" name="Straight Arrow Connector 3">
          <a:extLst>
            <a:ext uri="{FF2B5EF4-FFF2-40B4-BE49-F238E27FC236}">
              <a16:creationId xmlns:a16="http://schemas.microsoft.com/office/drawing/2014/main" id="{00000000-0008-0000-0C00-000004000000}"/>
            </a:ext>
          </a:extLst>
        </xdr:cNvPr>
        <xdr:cNvCxnSpPr/>
      </xdr:nvCxnSpPr>
      <xdr:spPr>
        <a:xfrm flipV="1">
          <a:off x="4695825" y="8896350"/>
          <a:ext cx="3181350" cy="4781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57150</xdr:colOff>
      <xdr:row>20</xdr:row>
      <xdr:rowOff>95250</xdr:rowOff>
    </xdr:from>
    <xdr:to>
      <xdr:col>6</xdr:col>
      <xdr:colOff>1724025</xdr:colOff>
      <xdr:row>24</xdr:row>
      <xdr:rowOff>142875</xdr:rowOff>
    </xdr:to>
    <xdr:sp macro="" textlink="">
      <xdr:nvSpPr>
        <xdr:cNvPr id="5" name="Rectangle 4">
          <a:extLst>
            <a:ext uri="{FF2B5EF4-FFF2-40B4-BE49-F238E27FC236}">
              <a16:creationId xmlns:a16="http://schemas.microsoft.com/office/drawing/2014/main" id="{00000000-0008-0000-0C00-000005000000}"/>
            </a:ext>
          </a:extLst>
        </xdr:cNvPr>
        <xdr:cNvSpPr/>
      </xdr:nvSpPr>
      <xdr:spPr>
        <a:xfrm>
          <a:off x="5048250" y="4848225"/>
          <a:ext cx="4591050" cy="847725"/>
        </a:xfrm>
        <a:prstGeom prst="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ct val="107000"/>
            </a:lnSpc>
            <a:spcAft>
              <a:spcPts val="0"/>
            </a:spcAft>
          </a:pPr>
          <a:r>
            <a:rPr lang="en-MY" sz="1100" b="1">
              <a:solidFill>
                <a:srgbClr val="000000"/>
              </a:solidFill>
              <a:effectLst/>
              <a:ea typeface="Calibri" panose="020F0502020204030204" pitchFamily="34" charset="0"/>
              <a:cs typeface="Times New Roman" panose="02020603050405020304" pitchFamily="18" charset="0"/>
            </a:rPr>
            <a:t>Activities for on-site annual mill fuel use</a:t>
          </a:r>
          <a:endParaRPr lang="en-MY" sz="1100" b="1">
            <a:effectLst/>
            <a:ea typeface="Calibri" panose="020F0502020204030204" pitchFamily="34" charset="0"/>
            <a:cs typeface="Times New Roman" panose="02020603050405020304" pitchFamily="18" charset="0"/>
          </a:endParaRPr>
        </a:p>
        <a:p>
          <a:pPr>
            <a:lnSpc>
              <a:spcPct val="107000"/>
            </a:lnSpc>
            <a:spcAft>
              <a:spcPts val="0"/>
            </a:spcAft>
          </a:pPr>
          <a:r>
            <a:rPr lang="en-MY" sz="1100">
              <a:solidFill>
                <a:srgbClr val="000000"/>
              </a:solidFill>
              <a:effectLst/>
              <a:ea typeface="Calibri" panose="020F0502020204030204" pitchFamily="34" charset="0"/>
              <a:cs typeface="Times New Roman" panose="02020603050405020304" pitchFamily="18" charset="0"/>
            </a:rPr>
            <a:t>- start up for boilers</a:t>
          </a:r>
          <a:endParaRPr lang="en-MY" sz="1100">
            <a:effectLst/>
            <a:ea typeface="Calibri" panose="020F0502020204030204" pitchFamily="34" charset="0"/>
            <a:cs typeface="Times New Roman" panose="02020603050405020304" pitchFamily="18" charset="0"/>
          </a:endParaRPr>
        </a:p>
        <a:p>
          <a:pPr>
            <a:lnSpc>
              <a:spcPct val="107000"/>
            </a:lnSpc>
            <a:spcAft>
              <a:spcPts val="0"/>
            </a:spcAft>
          </a:pPr>
          <a:r>
            <a:rPr lang="en-MY" sz="1100">
              <a:solidFill>
                <a:srgbClr val="000000"/>
              </a:solidFill>
              <a:effectLst/>
              <a:ea typeface="Calibri" panose="020F0502020204030204" pitchFamily="34" charset="0"/>
              <a:cs typeface="Times New Roman" panose="02020603050405020304" pitchFamily="18" charset="0"/>
            </a:rPr>
            <a:t>- gen set operation during down time</a:t>
          </a:r>
          <a:endParaRPr lang="en-MY" sz="1100">
            <a:effectLst/>
            <a:ea typeface="Calibri" panose="020F0502020204030204" pitchFamily="34" charset="0"/>
            <a:cs typeface="Times New Roman" panose="02020603050405020304" pitchFamily="18" charset="0"/>
          </a:endParaRPr>
        </a:p>
        <a:p>
          <a:pPr>
            <a:lnSpc>
              <a:spcPct val="107000"/>
            </a:lnSpc>
            <a:spcAft>
              <a:spcPts val="0"/>
            </a:spcAft>
          </a:pPr>
          <a:r>
            <a:rPr lang="en-MY" sz="1100">
              <a:solidFill>
                <a:srgbClr val="000000"/>
              </a:solidFill>
              <a:effectLst/>
              <a:ea typeface="Calibri" panose="020F0502020204030204" pitchFamily="34" charset="0"/>
              <a:cs typeface="Times New Roman" panose="02020603050405020304" pitchFamily="18" charset="0"/>
            </a:rPr>
            <a:t>- mill vehicles-loaders, fork lifts, vehicles used by staff at and around the mill</a:t>
          </a:r>
          <a:endParaRPr lang="en-MY" sz="1100">
            <a:effectLst/>
            <a:ea typeface="Calibri" panose="020F0502020204030204" pitchFamily="34" charset="0"/>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c/Biofuels%20GHG%20calculator%20-%20version%203_0_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ir.Abdul-Manan/AppData/Local/Temp/wzfc68/BioGrace_GHG_calculations_-_version_4_-_Publi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merkingen bij versie"/>
      <sheetName val="Program definitions"/>
      <sheetName val="Results"/>
      <sheetName val="Results2"/>
      <sheetName val="Tabellen LUC"/>
      <sheetName val="LUC"/>
      <sheetName val="Input"/>
      <sheetName val="Calculations"/>
      <sheetName val="Conversion factors"/>
      <sheetName val="Energy use and GHG emission"/>
      <sheetName val="Fossil references"/>
      <sheetName val="Comparison Graphs"/>
      <sheetName val="C"/>
      <sheetName val="Chains"/>
      <sheetName val="Ethanol-Sugar beet"/>
      <sheetName val="Ethanol-Wheat-n.s."/>
      <sheetName val="Ethanol-Wheat-Lignite_CHP"/>
      <sheetName val="Ethanol-Wheat-NG_boiler"/>
      <sheetName val="Ethanol-Wheat-NG_CHP"/>
      <sheetName val="Ethanol-Wheat-Straw_CHP"/>
      <sheetName val="Ethanol-Corn-NG_CHP"/>
      <sheetName val="Ethanol-Sugar cane"/>
      <sheetName val="Biodiesel-Rapeseed"/>
      <sheetName val="Biodiesel-Sunflower"/>
      <sheetName val="Biodiesel-Soybean"/>
      <sheetName val="Biodiesel-Palmoil-n.s."/>
      <sheetName val="Biodiesel-Palmoil-CH4_capt"/>
      <sheetName val="Biodiesel-Wasteoil"/>
      <sheetName val="HVO-Rapeseed"/>
      <sheetName val="HVO-Sunflower"/>
      <sheetName val="HVO-Palmoil-n.s."/>
      <sheetName val="HVO-Palmoil-CH4_capt"/>
      <sheetName val="PureVegOil-Rapeseed"/>
      <sheetName val="Biogas (CNG)-MOW"/>
      <sheetName val="Biogas (CNG)-Wet_manure"/>
      <sheetName val="Biogas (CNG)-Dry_manu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1">
          <cell r="H11" t="str">
            <v>Suger beet</v>
          </cell>
        </row>
        <row r="12">
          <cell r="H12" t="str">
            <v>Wheat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out"/>
      <sheetName val="Directory"/>
      <sheetName val="LUC"/>
      <sheetName val="Esca"/>
      <sheetName val="N2O emissions IPCC "/>
      <sheetName val="E-Sb"/>
      <sheetName val="E-Wt (not.spec.)"/>
      <sheetName val="E-Wt (Lign-chp)"/>
      <sheetName val="E-Wt (NG-b)"/>
      <sheetName val="E-Wt (NG-chp)"/>
      <sheetName val="E-Wt (Str-chp)"/>
      <sheetName val="E-Co"/>
      <sheetName val="E-Sc"/>
      <sheetName val="F-Rs"/>
      <sheetName val="F-Sf"/>
      <sheetName val="F-Sy"/>
      <sheetName val="F-Po"/>
      <sheetName val="F-Po (CH4 capt)"/>
      <sheetName val="F-Wo"/>
      <sheetName val="H-Rs"/>
      <sheetName val="H-Sf"/>
      <sheetName val="H-Po"/>
      <sheetName val="H-Po (CH4 capt)"/>
      <sheetName val="P-Rs"/>
      <sheetName val="CNG-OW"/>
      <sheetName val="CNG-wM"/>
      <sheetName val="CNG-dM"/>
      <sheetName val="User defined standard values"/>
      <sheetName val="Perhitungan Emisi (2)"/>
    </sheetNames>
    <sheetDataSet>
      <sheetData sheetId="0" refreshError="1">
        <row r="79">
          <cell r="B79">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8.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6.xm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sheetPr>
  <dimension ref="A1:A20"/>
  <sheetViews>
    <sheetView showGridLines="0" tabSelected="1" zoomScaleNormal="100" zoomScaleSheetLayoutView="100" workbookViewId="0">
      <selection activeCell="A3" sqref="A3"/>
    </sheetView>
  </sheetViews>
  <sheetFormatPr defaultColWidth="9.109375" defaultRowHeight="14.4" x14ac:dyDescent="0.3"/>
  <cols>
    <col min="1" max="1" width="171.88671875" style="58" customWidth="1"/>
    <col min="2" max="16384" width="9.109375" style="58"/>
  </cols>
  <sheetData>
    <row r="1" spans="1:1" ht="54" customHeight="1" x14ac:dyDescent="0.65">
      <c r="A1" s="372" t="s">
        <v>357</v>
      </c>
    </row>
    <row r="2" spans="1:1" s="338" customFormat="1" ht="134.25" customHeight="1" thickBot="1" x14ac:dyDescent="0.35">
      <c r="A2" s="341" t="s">
        <v>468</v>
      </c>
    </row>
    <row r="3" spans="1:1" s="338" customFormat="1" ht="60" customHeight="1" thickBot="1" x14ac:dyDescent="0.35">
      <c r="A3" s="417" t="s">
        <v>470</v>
      </c>
    </row>
    <row r="4" spans="1:1" ht="193.5" customHeight="1" thickBot="1" x14ac:dyDescent="0.35">
      <c r="A4" s="416" t="s">
        <v>445</v>
      </c>
    </row>
    <row r="5" spans="1:1" ht="15" thickTop="1" x14ac:dyDescent="0.3">
      <c r="A5" s="266"/>
    </row>
    <row r="6" spans="1:1" x14ac:dyDescent="0.25">
      <c r="A6" s="412" t="s">
        <v>467</v>
      </c>
    </row>
    <row r="7" spans="1:1" x14ac:dyDescent="0.3">
      <c r="A7" s="266"/>
    </row>
    <row r="8" spans="1:1" x14ac:dyDescent="0.3">
      <c r="A8" s="266"/>
    </row>
    <row r="9" spans="1:1" x14ac:dyDescent="0.3">
      <c r="A9" s="266"/>
    </row>
    <row r="10" spans="1:1" x14ac:dyDescent="0.3">
      <c r="A10" s="266"/>
    </row>
    <row r="11" spans="1:1" x14ac:dyDescent="0.3">
      <c r="A11" s="266"/>
    </row>
    <row r="12" spans="1:1" x14ac:dyDescent="0.3">
      <c r="A12" s="56"/>
    </row>
    <row r="13" spans="1:1" x14ac:dyDescent="0.3">
      <c r="A13" s="267"/>
    </row>
    <row r="14" spans="1:1" x14ac:dyDescent="0.3">
      <c r="A14" s="57"/>
    </row>
    <row r="15" spans="1:1" x14ac:dyDescent="0.3">
      <c r="A15" s="266"/>
    </row>
    <row r="16" spans="1:1" x14ac:dyDescent="0.3">
      <c r="A16" s="56"/>
    </row>
    <row r="17" spans="1:1" x14ac:dyDescent="0.3">
      <c r="A17" s="56"/>
    </row>
    <row r="18" spans="1:1" x14ac:dyDescent="0.3">
      <c r="A18" s="34"/>
    </row>
    <row r="19" spans="1:1" x14ac:dyDescent="0.3">
      <c r="A19" s="56"/>
    </row>
    <row r="20" spans="1:1" x14ac:dyDescent="0.3">
      <c r="A20" s="56"/>
    </row>
  </sheetData>
  <sheetProtection selectLockedCells="1" selectUnlockedCells="1"/>
  <customSheetViews>
    <customSheetView guid="{E65377FD-65C5-4E48-ADBC-1C49981F2400}">
      <pageMargins left="0.7" right="0.7" top="0.75" bottom="0.75" header="0.3" footer="0.3"/>
      <pageSetup orientation="portrait" r:id="rId1"/>
    </customSheetView>
  </customSheetView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sheetPr>
  <dimension ref="A1:S105"/>
  <sheetViews>
    <sheetView zoomScale="90" zoomScaleNormal="90" workbookViewId="0">
      <selection activeCell="B104" sqref="B104"/>
    </sheetView>
  </sheetViews>
  <sheetFormatPr defaultColWidth="9.109375" defaultRowHeight="14.4" x14ac:dyDescent="0.3"/>
  <cols>
    <col min="1" max="1" width="36.109375" style="62" customWidth="1"/>
    <col min="2" max="2" width="9" style="62" customWidth="1"/>
    <col min="3" max="3" width="9.5546875" style="62" customWidth="1"/>
    <col min="4" max="4" width="9.109375" style="62" customWidth="1"/>
    <col min="5" max="5" width="12" style="62" bestFit="1" customWidth="1"/>
    <col min="6" max="6" width="13.109375" style="62" customWidth="1"/>
    <col min="7" max="7" width="20.88671875" style="62" customWidth="1"/>
    <col min="8" max="8" width="12.88671875" style="62" customWidth="1"/>
    <col min="9" max="9" width="12.6640625" style="62" customWidth="1"/>
    <col min="10" max="11" width="10" style="62" customWidth="1"/>
    <col min="12" max="12" width="8.6640625" style="62" customWidth="1"/>
    <col min="13" max="14" width="9.44140625" style="62" customWidth="1"/>
    <col min="15" max="15" width="7.6640625" style="62" customWidth="1"/>
    <col min="16" max="16" width="10.44140625" style="62" customWidth="1"/>
    <col min="17" max="17" width="12" style="62" customWidth="1"/>
    <col min="18" max="18" width="9.6640625" style="62" customWidth="1"/>
    <col min="19" max="16384" width="9.109375" style="62"/>
  </cols>
  <sheetData>
    <row r="1" spans="1:19" ht="15.6" x14ac:dyDescent="0.35">
      <c r="A1" s="77" t="s">
        <v>91</v>
      </c>
      <c r="G1" s="65"/>
      <c r="L1" s="69"/>
    </row>
    <row r="2" spans="1:19" x14ac:dyDescent="0.3">
      <c r="A2" s="77"/>
      <c r="G2" s="65"/>
      <c r="L2" s="69"/>
    </row>
    <row r="3" spans="1:19" ht="77.25" customHeight="1" x14ac:dyDescent="0.3">
      <c r="A3" s="440" t="s">
        <v>428</v>
      </c>
      <c r="B3" s="441"/>
      <c r="C3" s="441"/>
      <c r="D3" s="441"/>
      <c r="E3" s="441"/>
      <c r="F3" s="441"/>
      <c r="G3" s="425"/>
      <c r="H3" s="425"/>
      <c r="I3" s="425"/>
      <c r="J3" s="426"/>
    </row>
    <row r="4" spans="1:19" x14ac:dyDescent="0.3">
      <c r="A4" s="71"/>
      <c r="B4" s="79"/>
      <c r="I4" s="78"/>
      <c r="J4" s="78"/>
    </row>
    <row r="5" spans="1:19" ht="28.8" x14ac:dyDescent="0.3">
      <c r="A5" s="146" t="s">
        <v>214</v>
      </c>
      <c r="B5" s="45">
        <v>150</v>
      </c>
      <c r="I5" s="87"/>
      <c r="J5" s="87"/>
    </row>
    <row r="6" spans="1:19" x14ac:dyDescent="0.3">
      <c r="A6" s="72"/>
      <c r="B6" s="91"/>
      <c r="I6" s="78"/>
      <c r="J6" s="78"/>
    </row>
    <row r="7" spans="1:19" ht="41.25" customHeight="1" x14ac:dyDescent="0.3">
      <c r="A7" s="72" t="s">
        <v>2</v>
      </c>
      <c r="B7" s="439" t="s">
        <v>215</v>
      </c>
      <c r="C7" s="439"/>
      <c r="D7" s="81" t="s">
        <v>3</v>
      </c>
      <c r="E7" s="81" t="s">
        <v>4</v>
      </c>
      <c r="F7" s="81" t="s">
        <v>5</v>
      </c>
      <c r="J7" s="64"/>
      <c r="K7" s="64"/>
      <c r="L7" s="64"/>
      <c r="M7" s="64"/>
      <c r="N7" s="64"/>
      <c r="O7" s="64"/>
      <c r="P7" s="64"/>
      <c r="Q7" s="64"/>
      <c r="R7" s="64"/>
      <c r="S7" s="68"/>
    </row>
    <row r="8" spans="1:19" ht="47.25" customHeight="1" x14ac:dyDescent="0.35">
      <c r="A8" s="80"/>
      <c r="B8" s="73" t="s">
        <v>6</v>
      </c>
      <c r="C8" s="128" t="s">
        <v>92</v>
      </c>
      <c r="D8" s="128" t="s">
        <v>93</v>
      </c>
      <c r="E8" s="128" t="s">
        <v>93</v>
      </c>
      <c r="F8" s="128" t="s">
        <v>93</v>
      </c>
      <c r="G8" s="76"/>
      <c r="H8" s="128"/>
      <c r="I8" s="128"/>
      <c r="J8" s="128"/>
      <c r="K8" s="81"/>
      <c r="L8" s="64"/>
      <c r="M8" s="64"/>
      <c r="N8" s="64"/>
      <c r="O8" s="64"/>
      <c r="P8" s="64"/>
      <c r="Q8" s="64"/>
      <c r="R8" s="64"/>
      <c r="S8" s="68"/>
    </row>
    <row r="9" spans="1:19" x14ac:dyDescent="0.3">
      <c r="A9" s="62" t="s">
        <v>11</v>
      </c>
      <c r="B9" s="147">
        <v>6000</v>
      </c>
      <c r="C9" s="107">
        <f>B9*'Default data'!$B$6</f>
        <v>106.62</v>
      </c>
      <c r="D9" s="107">
        <f>$B$5*'Default data'!$B$14*2</f>
        <v>93.600000000000023</v>
      </c>
      <c r="E9" s="118">
        <f>'Default data'!$G40</f>
        <v>2380</v>
      </c>
      <c r="F9" s="94">
        <f>SUM(C9:E9)</f>
        <v>2580.2200000000003</v>
      </c>
      <c r="G9" s="76"/>
      <c r="H9" s="76"/>
      <c r="I9" s="76"/>
      <c r="J9" s="107"/>
      <c r="K9" s="64"/>
      <c r="L9" s="64"/>
      <c r="M9" s="64"/>
      <c r="N9" s="64"/>
      <c r="O9" s="64"/>
      <c r="P9" s="64"/>
      <c r="Q9" s="64"/>
      <c r="R9" s="64"/>
      <c r="S9" s="68"/>
    </row>
    <row r="10" spans="1:19" x14ac:dyDescent="0.3">
      <c r="A10" s="62" t="s">
        <v>7</v>
      </c>
      <c r="B10" s="147">
        <v>6000</v>
      </c>
      <c r="C10" s="107">
        <f>B10*'Default data'!$B$6</f>
        <v>106.62</v>
      </c>
      <c r="D10" s="107">
        <f>$B$5*'Default data'!$B$14*2</f>
        <v>93.600000000000023</v>
      </c>
      <c r="E10" s="118">
        <f>'Default data'!$G41</f>
        <v>340</v>
      </c>
      <c r="F10" s="94">
        <f t="shared" ref="F10:F18" si="0">SUM(C10:E10)</f>
        <v>540.22</v>
      </c>
      <c r="G10" s="76"/>
      <c r="H10" s="76"/>
      <c r="I10" s="76"/>
      <c r="J10" s="107"/>
      <c r="K10" s="64"/>
      <c r="L10" s="64"/>
      <c r="M10" s="64"/>
      <c r="N10" s="64"/>
      <c r="O10" s="64"/>
      <c r="P10" s="64"/>
      <c r="Q10" s="64"/>
      <c r="R10" s="64"/>
      <c r="S10" s="68"/>
    </row>
    <row r="11" spans="1:19" x14ac:dyDescent="0.3">
      <c r="A11" s="62" t="s">
        <v>12</v>
      </c>
      <c r="B11" s="147">
        <v>6000</v>
      </c>
      <c r="C11" s="107">
        <f>B11*'Default data'!$B$6</f>
        <v>106.62</v>
      </c>
      <c r="D11" s="107">
        <f>$B$5*'Default data'!$B$14*2</f>
        <v>93.600000000000023</v>
      </c>
      <c r="E11" s="118">
        <f>'Default data'!$G42</f>
        <v>460</v>
      </c>
      <c r="F11" s="94">
        <f t="shared" si="0"/>
        <v>660.22</v>
      </c>
      <c r="G11" s="76"/>
      <c r="H11" s="76"/>
      <c r="I11" s="76"/>
      <c r="J11" s="107"/>
      <c r="K11" s="64"/>
      <c r="L11" s="64"/>
      <c r="M11" s="64"/>
      <c r="N11" s="64"/>
      <c r="O11" s="64"/>
      <c r="P11" s="64"/>
      <c r="Q11" s="64"/>
      <c r="R11" s="64"/>
      <c r="S11" s="68"/>
    </row>
    <row r="12" spans="1:19" x14ac:dyDescent="0.3">
      <c r="A12" s="62" t="s">
        <v>8</v>
      </c>
      <c r="B12" s="147">
        <v>6000</v>
      </c>
      <c r="C12" s="107">
        <f>B12*'Default data'!$B$6</f>
        <v>106.62</v>
      </c>
      <c r="D12" s="107">
        <f>$B$5*'Default data'!$B$14*2</f>
        <v>93.600000000000023</v>
      </c>
      <c r="E12" s="118">
        <f>'Default data'!$G43</f>
        <v>1340</v>
      </c>
      <c r="F12" s="94">
        <f t="shared" si="0"/>
        <v>1540.22</v>
      </c>
      <c r="G12" s="76"/>
      <c r="H12" s="76"/>
      <c r="I12" s="76"/>
      <c r="J12" s="107"/>
      <c r="K12" s="64"/>
      <c r="L12" s="64"/>
      <c r="M12" s="64"/>
      <c r="N12" s="64"/>
      <c r="O12" s="64"/>
      <c r="P12" s="64"/>
      <c r="Q12" s="64"/>
      <c r="R12" s="64"/>
      <c r="S12" s="68"/>
    </row>
    <row r="13" spans="1:19" x14ac:dyDescent="0.3">
      <c r="A13" s="62" t="s">
        <v>157</v>
      </c>
      <c r="B13" s="147">
        <v>6000</v>
      </c>
      <c r="C13" s="107">
        <f>B13*'Default data'!$B$6</f>
        <v>106.62</v>
      </c>
      <c r="D13" s="107">
        <f>$B$5*'Default data'!$B$14*2</f>
        <v>93.600000000000023</v>
      </c>
      <c r="E13" s="118">
        <f>'Default data'!$G44</f>
        <v>1040</v>
      </c>
      <c r="F13" s="94">
        <f>SUM(C13:E13)</f>
        <v>1240.22</v>
      </c>
      <c r="G13" s="76"/>
      <c r="H13" s="76"/>
      <c r="I13" s="76"/>
      <c r="J13" s="107"/>
      <c r="K13" s="64"/>
      <c r="L13" s="64"/>
      <c r="M13" s="64"/>
      <c r="N13" s="64"/>
      <c r="O13" s="64"/>
      <c r="P13" s="64"/>
      <c r="Q13" s="64"/>
      <c r="R13" s="64"/>
      <c r="S13" s="68"/>
    </row>
    <row r="14" spans="1:19" x14ac:dyDescent="0.3">
      <c r="A14" s="62" t="s">
        <v>57</v>
      </c>
      <c r="B14" s="147">
        <v>6000</v>
      </c>
      <c r="C14" s="107">
        <f>B14*'Default data'!$B$6</f>
        <v>106.62</v>
      </c>
      <c r="D14" s="107">
        <f>$B$5*'Default data'!$B$14*2</f>
        <v>93.600000000000023</v>
      </c>
      <c r="E14" s="118">
        <f>'Default data'!$G45</f>
        <v>200</v>
      </c>
      <c r="F14" s="94">
        <f t="shared" si="0"/>
        <v>400.22</v>
      </c>
      <c r="G14" s="76"/>
      <c r="H14" s="76"/>
      <c r="I14" s="76"/>
      <c r="J14" s="107"/>
      <c r="K14" s="64"/>
      <c r="L14" s="64"/>
      <c r="M14" s="64"/>
      <c r="N14" s="64"/>
      <c r="O14" s="64"/>
      <c r="P14" s="64"/>
      <c r="Q14" s="64"/>
      <c r="R14" s="64"/>
      <c r="S14" s="68"/>
    </row>
    <row r="15" spans="1:19" x14ac:dyDescent="0.3">
      <c r="A15" s="62" t="s">
        <v>10</v>
      </c>
      <c r="B15" s="147">
        <v>6000</v>
      </c>
      <c r="C15" s="107">
        <f>B15*'Default data'!$B$6</f>
        <v>106.62</v>
      </c>
      <c r="D15" s="107">
        <f>$B$5*'Default data'!$B$14*2</f>
        <v>93.600000000000023</v>
      </c>
      <c r="E15" s="118">
        <f>'Default data'!$G46</f>
        <v>200</v>
      </c>
      <c r="F15" s="94">
        <f t="shared" si="0"/>
        <v>400.22</v>
      </c>
      <c r="G15" s="76"/>
      <c r="H15" s="76"/>
      <c r="I15" s="76"/>
      <c r="J15" s="107"/>
      <c r="K15" s="64"/>
      <c r="L15" s="64"/>
      <c r="M15" s="64"/>
      <c r="N15" s="64"/>
      <c r="O15" s="64"/>
      <c r="P15" s="64"/>
      <c r="Q15" s="64"/>
      <c r="R15" s="64"/>
      <c r="S15" s="68"/>
    </row>
    <row r="16" spans="1:19" x14ac:dyDescent="0.3">
      <c r="A16" s="62" t="s">
        <v>9</v>
      </c>
      <c r="B16" s="147">
        <v>6000</v>
      </c>
      <c r="C16" s="107">
        <f>B16*'Default data'!$B$6</f>
        <v>106.62</v>
      </c>
      <c r="D16" s="107">
        <f>$B$5*'Default data'!$B$14*2</f>
        <v>93.600000000000023</v>
      </c>
      <c r="E16" s="118">
        <f>'Default data'!$G47</f>
        <v>44</v>
      </c>
      <c r="F16" s="94">
        <f t="shared" si="0"/>
        <v>244.22000000000003</v>
      </c>
      <c r="G16" s="76"/>
      <c r="H16" s="76"/>
      <c r="I16" s="76"/>
      <c r="J16" s="107"/>
      <c r="K16" s="64"/>
      <c r="L16" s="64"/>
      <c r="M16" s="64"/>
      <c r="N16" s="64"/>
      <c r="O16" s="64"/>
      <c r="P16" s="64"/>
      <c r="Q16" s="64"/>
      <c r="R16" s="64"/>
      <c r="S16" s="68"/>
    </row>
    <row r="17" spans="1:19" x14ac:dyDescent="0.3">
      <c r="A17" s="62" t="s">
        <v>78</v>
      </c>
      <c r="B17" s="147">
        <v>6000</v>
      </c>
      <c r="C17" s="107">
        <f>B17*'Default data'!$B$6</f>
        <v>106.62</v>
      </c>
      <c r="D17" s="107">
        <f>$B$5*'Default data'!$B$14*2</f>
        <v>93.600000000000023</v>
      </c>
      <c r="E17" s="118">
        <f>'Default data'!$G48</f>
        <v>170</v>
      </c>
      <c r="F17" s="94">
        <f t="shared" si="0"/>
        <v>370.22</v>
      </c>
      <c r="G17" s="76"/>
      <c r="H17" s="76"/>
      <c r="I17" s="76"/>
      <c r="J17" s="107"/>
      <c r="K17" s="64"/>
      <c r="L17" s="64"/>
      <c r="M17" s="64"/>
      <c r="N17" s="64"/>
      <c r="O17" s="64"/>
      <c r="P17" s="64"/>
      <c r="Q17" s="64"/>
      <c r="R17" s="64"/>
      <c r="S17" s="68"/>
    </row>
    <row r="18" spans="1:19" x14ac:dyDescent="0.3">
      <c r="A18" s="62" t="s">
        <v>79</v>
      </c>
      <c r="B18" s="147">
        <v>6000</v>
      </c>
      <c r="C18" s="107">
        <f>B18*'Default data'!$B$6</f>
        <v>106.62</v>
      </c>
      <c r="D18" s="107">
        <f>$B$5*'Default data'!$B$14*2</f>
        <v>93.600000000000023</v>
      </c>
      <c r="E18" s="118">
        <f>'Default data'!$G49</f>
        <v>547</v>
      </c>
      <c r="F18" s="94">
        <f t="shared" si="0"/>
        <v>747.22</v>
      </c>
      <c r="G18" s="76"/>
      <c r="H18" s="76"/>
      <c r="I18" s="76"/>
      <c r="J18" s="107"/>
      <c r="K18" s="64"/>
      <c r="L18" s="64"/>
      <c r="M18" s="64"/>
      <c r="N18" s="64"/>
      <c r="O18" s="64"/>
      <c r="P18" s="64"/>
      <c r="Q18" s="64"/>
      <c r="R18" s="64"/>
      <c r="S18" s="68"/>
    </row>
    <row r="19" spans="1:19" x14ac:dyDescent="0.3">
      <c r="A19" s="212" t="str">
        <f>'5. User defined fertiliser'!C6</f>
        <v>User defined 1</v>
      </c>
      <c r="B19" s="147">
        <v>6000</v>
      </c>
      <c r="C19" s="211">
        <f>B19*'Default data'!$B$6</f>
        <v>106.62</v>
      </c>
      <c r="D19" s="211">
        <f>$B$5*'Default data'!$B$14*2</f>
        <v>93.600000000000023</v>
      </c>
      <c r="E19" s="118">
        <f>'Default data'!$G50</f>
        <v>0</v>
      </c>
      <c r="F19" s="213">
        <f>SUM(C19:E19)</f>
        <v>200.22000000000003</v>
      </c>
      <c r="G19" s="76"/>
      <c r="H19" s="76"/>
      <c r="I19" s="76"/>
      <c r="J19" s="107"/>
      <c r="K19" s="64"/>
      <c r="L19" s="64"/>
      <c r="M19" s="64"/>
      <c r="N19" s="64"/>
      <c r="O19" s="64"/>
      <c r="P19" s="64"/>
      <c r="Q19" s="64"/>
      <c r="R19" s="64"/>
      <c r="S19" s="68"/>
    </row>
    <row r="20" spans="1:19" x14ac:dyDescent="0.3">
      <c r="A20" s="212" t="str">
        <f>'5. User defined fertiliser'!C37</f>
        <v>User defined 2</v>
      </c>
      <c r="B20" s="147">
        <v>6000</v>
      </c>
      <c r="C20" s="211">
        <f>B20*'Default data'!$B$6</f>
        <v>106.62</v>
      </c>
      <c r="D20" s="211">
        <f>$B$5*'Default data'!$B$14*2</f>
        <v>93.600000000000023</v>
      </c>
      <c r="E20" s="118">
        <f>'Default data'!$G51</f>
        <v>0</v>
      </c>
      <c r="F20" s="213">
        <f t="shared" ref="F20:F28" si="1">SUM(C20:E20)</f>
        <v>200.22000000000003</v>
      </c>
      <c r="G20" s="76"/>
      <c r="H20" s="76"/>
      <c r="I20" s="76"/>
      <c r="J20" s="107"/>
      <c r="K20" s="64"/>
      <c r="L20" s="64"/>
      <c r="M20" s="64"/>
      <c r="N20" s="64"/>
      <c r="O20" s="64"/>
      <c r="P20" s="64"/>
      <c r="Q20" s="64"/>
      <c r="R20" s="64"/>
      <c r="S20" s="68"/>
    </row>
    <row r="21" spans="1:19" x14ac:dyDescent="0.3">
      <c r="A21" s="212" t="str">
        <f>'5. User defined fertiliser'!C63</f>
        <v>User defined 3</v>
      </c>
      <c r="B21" s="147">
        <v>6000</v>
      </c>
      <c r="C21" s="211">
        <f>B21*'Default data'!$B$6</f>
        <v>106.62</v>
      </c>
      <c r="D21" s="211">
        <f>$B$5*'Default data'!$B$14*2</f>
        <v>93.600000000000023</v>
      </c>
      <c r="E21" s="118">
        <f>'Default data'!$G52</f>
        <v>0</v>
      </c>
      <c r="F21" s="213">
        <f t="shared" si="1"/>
        <v>200.22000000000003</v>
      </c>
      <c r="G21" s="76"/>
      <c r="H21" s="76"/>
      <c r="I21" s="76"/>
      <c r="J21" s="107"/>
      <c r="K21" s="64"/>
      <c r="L21" s="64"/>
      <c r="M21" s="64"/>
      <c r="N21" s="64"/>
      <c r="O21" s="64"/>
      <c r="P21" s="64"/>
      <c r="Q21" s="64"/>
      <c r="R21" s="64"/>
      <c r="S21" s="68"/>
    </row>
    <row r="22" spans="1:19" x14ac:dyDescent="0.3">
      <c r="A22" s="212" t="str">
        <f>'5. User defined fertiliser'!C89</f>
        <v>User defined 4</v>
      </c>
      <c r="B22" s="210">
        <v>6000</v>
      </c>
      <c r="C22" s="211">
        <f>B22*'Default data'!$B$6</f>
        <v>106.62</v>
      </c>
      <c r="D22" s="211">
        <f>$B$5*'Default data'!$B$14*2</f>
        <v>93.600000000000023</v>
      </c>
      <c r="E22" s="118">
        <f>'Default data'!$G53</f>
        <v>0</v>
      </c>
      <c r="F22" s="213">
        <f t="shared" si="1"/>
        <v>200.22000000000003</v>
      </c>
      <c r="G22" s="76"/>
      <c r="H22" s="76"/>
      <c r="I22" s="76"/>
      <c r="J22" s="107"/>
      <c r="K22" s="64"/>
      <c r="L22" s="64"/>
      <c r="M22" s="64"/>
      <c r="N22" s="64"/>
      <c r="O22" s="64"/>
      <c r="P22" s="64"/>
      <c r="Q22" s="64"/>
      <c r="R22" s="64"/>
      <c r="S22" s="68"/>
    </row>
    <row r="23" spans="1:19" x14ac:dyDescent="0.3">
      <c r="A23" s="212" t="str">
        <f>'5. User defined fertiliser'!C115</f>
        <v>User defined 5</v>
      </c>
      <c r="B23" s="210">
        <v>6000</v>
      </c>
      <c r="C23" s="211">
        <f>B23*'Default data'!$B$6</f>
        <v>106.62</v>
      </c>
      <c r="D23" s="211">
        <f>$B$5*'Default data'!$B$14*2</f>
        <v>93.600000000000023</v>
      </c>
      <c r="E23" s="118">
        <f>'Default data'!$G54</f>
        <v>0</v>
      </c>
      <c r="F23" s="213">
        <f t="shared" si="1"/>
        <v>200.22000000000003</v>
      </c>
      <c r="G23" s="76"/>
      <c r="H23" s="76"/>
      <c r="I23" s="76"/>
      <c r="J23" s="107"/>
      <c r="K23" s="64"/>
      <c r="L23" s="64"/>
      <c r="M23" s="64"/>
      <c r="N23" s="64"/>
      <c r="O23" s="64"/>
      <c r="P23" s="64"/>
      <c r="Q23" s="64"/>
      <c r="R23" s="64"/>
      <c r="S23" s="68"/>
    </row>
    <row r="24" spans="1:19" x14ac:dyDescent="0.3">
      <c r="A24" s="212" t="str">
        <f>'5. User defined fertiliser'!C141</f>
        <v>User defined 6</v>
      </c>
      <c r="B24" s="210">
        <v>6000</v>
      </c>
      <c r="C24" s="211">
        <f>B24*'Default data'!$B$6</f>
        <v>106.62</v>
      </c>
      <c r="D24" s="211">
        <f>$B$5*'Default data'!$B$14*2</f>
        <v>93.600000000000023</v>
      </c>
      <c r="E24" s="118">
        <f>'Default data'!$G55</f>
        <v>0</v>
      </c>
      <c r="F24" s="213">
        <f t="shared" si="1"/>
        <v>200.22000000000003</v>
      </c>
      <c r="G24" s="76"/>
      <c r="H24" s="76"/>
      <c r="I24" s="76"/>
      <c r="J24" s="107"/>
      <c r="K24" s="64"/>
      <c r="L24" s="64"/>
      <c r="M24" s="64"/>
      <c r="N24" s="64"/>
      <c r="O24" s="64"/>
      <c r="P24" s="64"/>
      <c r="Q24" s="64"/>
      <c r="R24" s="64"/>
      <c r="S24" s="68"/>
    </row>
    <row r="25" spans="1:19" x14ac:dyDescent="0.3">
      <c r="A25" s="212" t="str">
        <f>'5. User defined fertiliser'!C167</f>
        <v>User defined 7</v>
      </c>
      <c r="B25" s="210">
        <v>6000</v>
      </c>
      <c r="C25" s="211">
        <f>B25*'Default data'!$B$6</f>
        <v>106.62</v>
      </c>
      <c r="D25" s="211">
        <f>$B$5*'Default data'!$B$14*2</f>
        <v>93.600000000000023</v>
      </c>
      <c r="E25" s="118">
        <f>'Default data'!$G56</f>
        <v>0</v>
      </c>
      <c r="F25" s="213">
        <f t="shared" si="1"/>
        <v>200.22000000000003</v>
      </c>
      <c r="G25" s="76"/>
      <c r="H25" s="76"/>
      <c r="I25" s="76"/>
      <c r="J25" s="107"/>
      <c r="K25" s="64"/>
      <c r="L25" s="64"/>
      <c r="M25" s="64"/>
      <c r="N25" s="64"/>
      <c r="O25" s="64"/>
      <c r="P25" s="64"/>
      <c r="Q25" s="64"/>
      <c r="R25" s="64"/>
      <c r="S25" s="68"/>
    </row>
    <row r="26" spans="1:19" x14ac:dyDescent="0.3">
      <c r="A26" s="212" t="str">
        <f>'5. User defined fertiliser'!C193</f>
        <v>User defined 8</v>
      </c>
      <c r="B26" s="210">
        <v>6000</v>
      </c>
      <c r="C26" s="211">
        <f>B26*'Default data'!$B$6</f>
        <v>106.62</v>
      </c>
      <c r="D26" s="211">
        <f>$B$5*'Default data'!$B$14*2</f>
        <v>93.600000000000023</v>
      </c>
      <c r="E26" s="118">
        <f>'Default data'!$G57</f>
        <v>0</v>
      </c>
      <c r="F26" s="213">
        <f t="shared" si="1"/>
        <v>200.22000000000003</v>
      </c>
      <c r="G26" s="76"/>
      <c r="H26" s="76"/>
      <c r="I26" s="76"/>
      <c r="J26" s="107"/>
      <c r="K26" s="64"/>
      <c r="L26" s="64"/>
      <c r="M26" s="64"/>
      <c r="N26" s="64"/>
      <c r="O26" s="64"/>
      <c r="P26" s="64"/>
      <c r="Q26" s="64"/>
      <c r="R26" s="64"/>
      <c r="S26" s="68"/>
    </row>
    <row r="27" spans="1:19" x14ac:dyDescent="0.3">
      <c r="A27" s="212" t="str">
        <f>'5. User defined fertiliser'!C219</f>
        <v>User defined 9</v>
      </c>
      <c r="B27" s="210">
        <v>6000</v>
      </c>
      <c r="C27" s="211">
        <f>B27*'Default data'!$B$6</f>
        <v>106.62</v>
      </c>
      <c r="D27" s="211">
        <f>$B$5*'Default data'!$B$14*2</f>
        <v>93.600000000000023</v>
      </c>
      <c r="E27" s="118">
        <f>'Default data'!$G58</f>
        <v>0</v>
      </c>
      <c r="F27" s="213">
        <f t="shared" si="1"/>
        <v>200.22000000000003</v>
      </c>
      <c r="G27" s="76"/>
      <c r="H27" s="76"/>
      <c r="I27" s="76"/>
      <c r="J27" s="107"/>
      <c r="K27" s="64"/>
      <c r="L27" s="64"/>
      <c r="M27" s="64"/>
      <c r="N27" s="64"/>
      <c r="O27" s="64"/>
      <c r="P27" s="64"/>
      <c r="Q27" s="64"/>
      <c r="R27" s="64"/>
      <c r="S27" s="68"/>
    </row>
    <row r="28" spans="1:19" x14ac:dyDescent="0.3">
      <c r="A28" s="212" t="str">
        <f>'5. User defined fertiliser'!C245</f>
        <v>User defined 10</v>
      </c>
      <c r="B28" s="210">
        <v>6000</v>
      </c>
      <c r="C28" s="211">
        <f>B28*'Default data'!$B$6</f>
        <v>106.62</v>
      </c>
      <c r="D28" s="211">
        <f>$B$5*'Default data'!$B$14*2</f>
        <v>93.600000000000023</v>
      </c>
      <c r="E28" s="118">
        <f>'Default data'!$G59</f>
        <v>0</v>
      </c>
      <c r="F28" s="213">
        <f t="shared" si="1"/>
        <v>200.22000000000003</v>
      </c>
      <c r="G28" s="76"/>
      <c r="H28" s="76"/>
      <c r="I28" s="76"/>
      <c r="J28" s="107"/>
      <c r="K28" s="64"/>
      <c r="L28" s="64"/>
      <c r="M28" s="64"/>
      <c r="N28" s="64"/>
      <c r="O28" s="64"/>
      <c r="P28" s="64"/>
      <c r="Q28" s="64"/>
      <c r="R28" s="64"/>
      <c r="S28" s="68"/>
    </row>
    <row r="29" spans="1:19" x14ac:dyDescent="0.3">
      <c r="A29" s="209"/>
      <c r="B29" s="233"/>
      <c r="C29" s="211"/>
      <c r="D29" s="211"/>
      <c r="E29" s="212"/>
      <c r="F29" s="213"/>
      <c r="G29" s="76"/>
      <c r="H29" s="76"/>
      <c r="I29" s="76"/>
      <c r="J29" s="107"/>
      <c r="K29" s="64"/>
      <c r="L29" s="64"/>
      <c r="M29" s="64"/>
      <c r="N29" s="64"/>
      <c r="O29" s="64"/>
      <c r="P29" s="64"/>
      <c r="Q29" s="64"/>
      <c r="R29" s="64"/>
      <c r="S29" s="68"/>
    </row>
    <row r="30" spans="1:19" x14ac:dyDescent="0.3">
      <c r="A30" s="113" t="s">
        <v>331</v>
      </c>
      <c r="B30" s="76"/>
      <c r="C30" s="76"/>
      <c r="D30" s="76"/>
      <c r="E30" s="76"/>
      <c r="F30" s="76"/>
      <c r="G30" s="76"/>
      <c r="H30" s="76"/>
      <c r="I30" s="76"/>
      <c r="J30" s="107"/>
      <c r="K30" s="64"/>
      <c r="L30" s="64"/>
      <c r="M30" s="64"/>
      <c r="N30" s="64"/>
      <c r="O30" s="64"/>
      <c r="P30" s="64"/>
      <c r="Q30" s="64"/>
      <c r="R30" s="64"/>
      <c r="S30" s="68"/>
    </row>
    <row r="31" spans="1:19" x14ac:dyDescent="0.3">
      <c r="A31" s="214"/>
      <c r="B31" s="215"/>
      <c r="C31" s="215"/>
      <c r="D31" s="215"/>
      <c r="E31" s="216"/>
      <c r="G31" s="442" t="s">
        <v>335</v>
      </c>
      <c r="H31" s="443" t="s">
        <v>333</v>
      </c>
      <c r="I31" s="443"/>
      <c r="J31" s="76"/>
    </row>
    <row r="32" spans="1:19" ht="15.6" x14ac:dyDescent="0.35">
      <c r="B32" s="46"/>
      <c r="C32" s="46"/>
      <c r="D32" s="46"/>
      <c r="E32" s="92"/>
      <c r="G32" s="442"/>
      <c r="H32" s="217" t="s">
        <v>149</v>
      </c>
      <c r="I32" s="218" t="s">
        <v>334</v>
      </c>
      <c r="J32" s="76"/>
    </row>
    <row r="33" spans="1:12" ht="15.6" x14ac:dyDescent="0.35">
      <c r="A33" s="71" t="s">
        <v>337</v>
      </c>
      <c r="B33" s="67"/>
      <c r="C33" s="67"/>
      <c r="D33" s="92" t="s">
        <v>332</v>
      </c>
      <c r="E33" s="92" t="s">
        <v>22</v>
      </c>
      <c r="G33" s="219" t="s">
        <v>94</v>
      </c>
      <c r="H33" s="219" t="s">
        <v>94</v>
      </c>
      <c r="I33" s="219" t="s">
        <v>94</v>
      </c>
      <c r="J33" s="92"/>
      <c r="K33" s="92"/>
      <c r="L33" s="92"/>
    </row>
    <row r="34" spans="1:12" x14ac:dyDescent="0.3">
      <c r="A34" s="62" t="s">
        <v>11</v>
      </c>
      <c r="B34" s="97"/>
      <c r="C34" s="97"/>
      <c r="D34" s="231">
        <v>0</v>
      </c>
      <c r="E34" s="229">
        <f>D34*'1. LUC emissions'!C$59</f>
        <v>0</v>
      </c>
      <c r="G34" s="230">
        <f t="shared" ref="G34:G53" si="2">E34*$F9/1000</f>
        <v>0</v>
      </c>
      <c r="H34" s="230">
        <f>E34*'Default data'!L40/1000</f>
        <v>0</v>
      </c>
      <c r="I34" s="230"/>
      <c r="J34" s="107"/>
      <c r="K34" s="64"/>
      <c r="L34" s="64"/>
    </row>
    <row r="35" spans="1:12" x14ac:dyDescent="0.3">
      <c r="A35" s="62" t="s">
        <v>7</v>
      </c>
      <c r="B35" s="97"/>
      <c r="C35" s="97"/>
      <c r="D35" s="231">
        <v>0</v>
      </c>
      <c r="E35" s="229">
        <f>D35*'1. LUC emissions'!C$59</f>
        <v>0</v>
      </c>
      <c r="G35" s="230">
        <f t="shared" si="2"/>
        <v>0</v>
      </c>
      <c r="H35" s="230">
        <f>E35*'Default data'!L41/1000</f>
        <v>0</v>
      </c>
      <c r="I35" s="230"/>
      <c r="J35" s="107"/>
      <c r="K35" s="64"/>
      <c r="L35" s="64"/>
    </row>
    <row r="36" spans="1:12" x14ac:dyDescent="0.3">
      <c r="A36" s="62" t="s">
        <v>12</v>
      </c>
      <c r="B36" s="97"/>
      <c r="C36" s="97"/>
      <c r="D36" s="231">
        <v>0</v>
      </c>
      <c r="E36" s="229">
        <f>D36*'1. LUC emissions'!C$59</f>
        <v>0</v>
      </c>
      <c r="G36" s="230">
        <f t="shared" si="2"/>
        <v>0</v>
      </c>
      <c r="H36" s="230">
        <f>E36*'Default data'!L42/1000</f>
        <v>0</v>
      </c>
      <c r="I36" s="230"/>
      <c r="J36" s="107"/>
      <c r="K36" s="64"/>
      <c r="L36" s="64"/>
    </row>
    <row r="37" spans="1:12" x14ac:dyDescent="0.3">
      <c r="A37" s="62" t="s">
        <v>8</v>
      </c>
      <c r="B37" s="97"/>
      <c r="C37" s="97"/>
      <c r="D37" s="231">
        <v>0</v>
      </c>
      <c r="E37" s="229">
        <f>D37*'1. LUC emissions'!C$59</f>
        <v>0</v>
      </c>
      <c r="G37" s="230">
        <f t="shared" si="2"/>
        <v>0</v>
      </c>
      <c r="H37" s="230">
        <f>E37*'Default data'!L43/1000</f>
        <v>0</v>
      </c>
      <c r="I37" s="230">
        <f>'Default data'!B15*'6. Fertiliser and N2O'!E37*44/12</f>
        <v>0</v>
      </c>
      <c r="J37" s="107"/>
      <c r="K37" s="64"/>
      <c r="L37" s="64"/>
    </row>
    <row r="38" spans="1:12" x14ac:dyDescent="0.3">
      <c r="A38" s="62" t="s">
        <v>157</v>
      </c>
      <c r="B38" s="97"/>
      <c r="C38" s="97"/>
      <c r="D38" s="231">
        <v>0</v>
      </c>
      <c r="E38" s="229">
        <f>D38*'1. LUC emissions'!C$59</f>
        <v>0</v>
      </c>
      <c r="G38" s="230">
        <f t="shared" si="2"/>
        <v>0</v>
      </c>
      <c r="H38" s="230">
        <f>E38*'Default data'!L44/1000</f>
        <v>0</v>
      </c>
      <c r="I38" s="230"/>
      <c r="J38" s="107"/>
      <c r="K38" s="64"/>
      <c r="L38" s="64"/>
    </row>
    <row r="39" spans="1:12" x14ac:dyDescent="0.3">
      <c r="A39" s="62" t="s">
        <v>57</v>
      </c>
      <c r="B39" s="97"/>
      <c r="C39" s="97"/>
      <c r="D39" s="231">
        <v>0</v>
      </c>
      <c r="E39" s="229">
        <f>D39*'1. LUC emissions'!C$59</f>
        <v>0</v>
      </c>
      <c r="G39" s="230">
        <f t="shared" si="2"/>
        <v>0</v>
      </c>
      <c r="H39" s="230"/>
      <c r="I39" s="230"/>
      <c r="J39" s="107"/>
      <c r="K39" s="64"/>
      <c r="L39" s="64"/>
    </row>
    <row r="40" spans="1:12" x14ac:dyDescent="0.3">
      <c r="A40" s="62" t="s">
        <v>10</v>
      </c>
      <c r="B40" s="97"/>
      <c r="C40" s="97"/>
      <c r="D40" s="231">
        <v>0</v>
      </c>
      <c r="E40" s="229">
        <f>D40*'1. LUC emissions'!C$59</f>
        <v>0</v>
      </c>
      <c r="G40" s="230">
        <f t="shared" si="2"/>
        <v>0</v>
      </c>
      <c r="H40" s="230"/>
      <c r="I40" s="230"/>
      <c r="J40" s="107"/>
      <c r="K40" s="64"/>
      <c r="L40" s="64"/>
    </row>
    <row r="41" spans="1:12" x14ac:dyDescent="0.3">
      <c r="A41" s="62" t="s">
        <v>9</v>
      </c>
      <c r="B41" s="97"/>
      <c r="C41" s="97"/>
      <c r="D41" s="231">
        <v>0</v>
      </c>
      <c r="E41" s="229">
        <f>D41*'1. LUC emissions'!C$59</f>
        <v>0</v>
      </c>
      <c r="G41" s="230">
        <f t="shared" si="2"/>
        <v>0</v>
      </c>
      <c r="H41" s="230"/>
      <c r="I41" s="230"/>
      <c r="J41" s="107"/>
      <c r="K41" s="64"/>
      <c r="L41" s="64"/>
    </row>
    <row r="42" spans="1:12" x14ac:dyDescent="0.3">
      <c r="A42" s="62" t="s">
        <v>78</v>
      </c>
      <c r="B42" s="97"/>
      <c r="C42" s="97"/>
      <c r="D42" s="231">
        <v>0</v>
      </c>
      <c r="E42" s="229">
        <f>D42*'1. LUC emissions'!C$59</f>
        <v>0</v>
      </c>
      <c r="G42" s="230">
        <f t="shared" si="2"/>
        <v>0</v>
      </c>
      <c r="H42" s="230"/>
      <c r="I42" s="230"/>
      <c r="J42" s="107"/>
      <c r="K42" s="64"/>
      <c r="L42" s="64"/>
    </row>
    <row r="43" spans="1:12" x14ac:dyDescent="0.3">
      <c r="A43" s="62" t="s">
        <v>79</v>
      </c>
      <c r="B43" s="97"/>
      <c r="C43" s="97"/>
      <c r="D43" s="231">
        <v>0</v>
      </c>
      <c r="E43" s="229">
        <f>D43*'1. LUC emissions'!C$59</f>
        <v>0</v>
      </c>
      <c r="G43" s="230">
        <f t="shared" si="2"/>
        <v>0</v>
      </c>
      <c r="H43" s="230"/>
      <c r="I43" s="230"/>
      <c r="J43" s="107"/>
      <c r="K43" s="64"/>
      <c r="L43" s="64"/>
    </row>
    <row r="44" spans="1:12" x14ac:dyDescent="0.3">
      <c r="A44" s="212" t="str">
        <f t="shared" ref="A44:A53" si="3">A19</f>
        <v>User defined 1</v>
      </c>
      <c r="B44" s="220"/>
      <c r="C44" s="220"/>
      <c r="D44" s="232">
        <v>0</v>
      </c>
      <c r="E44" s="229">
        <f>D44*'1. LUC emissions'!C$59</f>
        <v>0</v>
      </c>
      <c r="G44" s="230">
        <f>E44*$F19/1000</f>
        <v>0</v>
      </c>
      <c r="H44" s="230">
        <f>E44*'Default data'!L50/1000</f>
        <v>0</v>
      </c>
      <c r="I44" s="250"/>
      <c r="J44" s="76"/>
    </row>
    <row r="45" spans="1:12" x14ac:dyDescent="0.3">
      <c r="A45" s="212" t="str">
        <f t="shared" si="3"/>
        <v>User defined 2</v>
      </c>
      <c r="B45" s="220"/>
      <c r="C45" s="220"/>
      <c r="D45" s="232">
        <v>0</v>
      </c>
      <c r="E45" s="229">
        <f>D45*'1. LUC emissions'!C$59</f>
        <v>0</v>
      </c>
      <c r="G45" s="230">
        <f t="shared" si="2"/>
        <v>0</v>
      </c>
      <c r="H45" s="230">
        <f>E45*'Default data'!L51/1000</f>
        <v>0</v>
      </c>
      <c r="I45" s="230"/>
      <c r="J45" s="76"/>
    </row>
    <row r="46" spans="1:12" x14ac:dyDescent="0.3">
      <c r="A46" s="212" t="str">
        <f t="shared" si="3"/>
        <v>User defined 3</v>
      </c>
      <c r="B46" s="220"/>
      <c r="C46" s="220"/>
      <c r="D46" s="232">
        <v>0</v>
      </c>
      <c r="E46" s="229">
        <f>D46*'1. LUC emissions'!C$59</f>
        <v>0</v>
      </c>
      <c r="G46" s="230">
        <f t="shared" si="2"/>
        <v>0</v>
      </c>
      <c r="H46" s="230">
        <f>E46*'Default data'!L52/1000</f>
        <v>0</v>
      </c>
      <c r="I46" s="230"/>
      <c r="J46" s="76"/>
    </row>
    <row r="47" spans="1:12" x14ac:dyDescent="0.3">
      <c r="A47" s="212" t="str">
        <f t="shared" si="3"/>
        <v>User defined 4</v>
      </c>
      <c r="B47" s="220"/>
      <c r="C47" s="220"/>
      <c r="D47" s="232">
        <v>0</v>
      </c>
      <c r="E47" s="229">
        <f>D47*'1. LUC emissions'!C$59</f>
        <v>0</v>
      </c>
      <c r="G47" s="230">
        <f t="shared" si="2"/>
        <v>0</v>
      </c>
      <c r="H47" s="230">
        <f>E47*'Default data'!L53/1000</f>
        <v>0</v>
      </c>
      <c r="I47" s="230"/>
      <c r="J47" s="76"/>
    </row>
    <row r="48" spans="1:12" x14ac:dyDescent="0.3">
      <c r="A48" s="212" t="str">
        <f t="shared" si="3"/>
        <v>User defined 5</v>
      </c>
      <c r="B48" s="220"/>
      <c r="C48" s="220"/>
      <c r="D48" s="232">
        <v>0</v>
      </c>
      <c r="E48" s="229">
        <f>D48*'1. LUC emissions'!C$59</f>
        <v>0</v>
      </c>
      <c r="G48" s="230">
        <f t="shared" si="2"/>
        <v>0</v>
      </c>
      <c r="H48" s="230">
        <f>E48*'Default data'!L54/1000</f>
        <v>0</v>
      </c>
      <c r="I48" s="230"/>
      <c r="J48" s="76"/>
    </row>
    <row r="49" spans="1:15" x14ac:dyDescent="0.3">
      <c r="A49" s="212" t="str">
        <f t="shared" si="3"/>
        <v>User defined 6</v>
      </c>
      <c r="B49" s="220"/>
      <c r="C49" s="220"/>
      <c r="D49" s="232">
        <v>0</v>
      </c>
      <c r="E49" s="229">
        <f>D49*'1. LUC emissions'!C$59</f>
        <v>0</v>
      </c>
      <c r="G49" s="230">
        <f t="shared" si="2"/>
        <v>0</v>
      </c>
      <c r="H49" s="230">
        <f>E49*'Default data'!L55/1000</f>
        <v>0</v>
      </c>
      <c r="I49" s="230"/>
      <c r="J49" s="76"/>
    </row>
    <row r="50" spans="1:15" x14ac:dyDescent="0.3">
      <c r="A50" s="212" t="str">
        <f t="shared" si="3"/>
        <v>User defined 7</v>
      </c>
      <c r="B50" s="220"/>
      <c r="C50" s="220"/>
      <c r="D50" s="232">
        <v>0</v>
      </c>
      <c r="E50" s="229">
        <f>D50*'1. LUC emissions'!C$59</f>
        <v>0</v>
      </c>
      <c r="G50" s="230">
        <f t="shared" si="2"/>
        <v>0</v>
      </c>
      <c r="H50" s="230">
        <f>E50*'Default data'!L56/1000</f>
        <v>0</v>
      </c>
      <c r="I50" s="230"/>
      <c r="J50" s="76"/>
    </row>
    <row r="51" spans="1:15" x14ac:dyDescent="0.3">
      <c r="A51" s="212" t="str">
        <f t="shared" si="3"/>
        <v>User defined 8</v>
      </c>
      <c r="B51" s="220"/>
      <c r="C51" s="220"/>
      <c r="D51" s="232">
        <v>0</v>
      </c>
      <c r="E51" s="229">
        <f>D51*'1. LUC emissions'!C$59</f>
        <v>0</v>
      </c>
      <c r="G51" s="230">
        <f t="shared" si="2"/>
        <v>0</v>
      </c>
      <c r="H51" s="230">
        <f>E51*'Default data'!L57/1000</f>
        <v>0</v>
      </c>
      <c r="I51" s="230"/>
      <c r="J51" s="76"/>
    </row>
    <row r="52" spans="1:15" x14ac:dyDescent="0.3">
      <c r="A52" s="212" t="str">
        <f t="shared" si="3"/>
        <v>User defined 9</v>
      </c>
      <c r="B52" s="220"/>
      <c r="C52" s="220"/>
      <c r="D52" s="232">
        <v>0</v>
      </c>
      <c r="E52" s="229">
        <f>D52*'1. LUC emissions'!C$59</f>
        <v>0</v>
      </c>
      <c r="G52" s="230">
        <f t="shared" si="2"/>
        <v>0</v>
      </c>
      <c r="H52" s="230">
        <f>E52*'Default data'!L58/1000</f>
        <v>0</v>
      </c>
      <c r="I52" s="230"/>
      <c r="J52" s="76"/>
    </row>
    <row r="53" spans="1:15" x14ac:dyDescent="0.3">
      <c r="A53" s="212" t="str">
        <f t="shared" si="3"/>
        <v>User defined 10</v>
      </c>
      <c r="B53" s="220"/>
      <c r="C53" s="220"/>
      <c r="D53" s="232">
        <v>0</v>
      </c>
      <c r="E53" s="229">
        <f>D53*'1. LUC emissions'!C$59</f>
        <v>0</v>
      </c>
      <c r="G53" s="230">
        <f t="shared" si="2"/>
        <v>0</v>
      </c>
      <c r="H53" s="230">
        <f>E53*'Default data'!L59/1000</f>
        <v>0</v>
      </c>
      <c r="I53" s="230"/>
      <c r="J53" s="76"/>
    </row>
    <row r="54" spans="1:15" ht="15" thickBot="1" x14ac:dyDescent="0.35">
      <c r="A54" s="43"/>
      <c r="B54" s="97"/>
      <c r="C54" s="97"/>
      <c r="D54" s="97"/>
      <c r="E54" s="96"/>
      <c r="F54" s="226" t="s">
        <v>5</v>
      </c>
      <c r="G54" s="227">
        <f>SUM(G34:G53)</f>
        <v>0</v>
      </c>
      <c r="H54" s="227">
        <f>SUM(H34:H53)</f>
        <v>0</v>
      </c>
      <c r="I54" s="228">
        <f>SUM(I34:I53)</f>
        <v>0</v>
      </c>
      <c r="J54" s="76"/>
    </row>
    <row r="55" spans="1:15" ht="15" thickTop="1" x14ac:dyDescent="0.3">
      <c r="A55" s="43"/>
      <c r="B55" s="44"/>
      <c r="C55" s="44"/>
      <c r="D55" s="44"/>
      <c r="E55" s="129"/>
      <c r="F55" s="92"/>
      <c r="G55" s="76"/>
      <c r="H55" s="76"/>
      <c r="I55" s="76"/>
      <c r="J55" s="76"/>
    </row>
    <row r="56" spans="1:15" x14ac:dyDescent="0.3">
      <c r="A56" s="89"/>
      <c r="B56" s="76"/>
      <c r="C56" s="76"/>
      <c r="D56" s="76"/>
      <c r="E56" s="76"/>
      <c r="F56" s="94"/>
      <c r="G56" s="93"/>
      <c r="H56" s="94"/>
      <c r="I56" s="93"/>
      <c r="J56" s="76"/>
      <c r="K56" s="76"/>
      <c r="L56" s="76"/>
      <c r="M56" s="76"/>
      <c r="N56" s="76"/>
      <c r="O56" s="76"/>
    </row>
    <row r="57" spans="1:15" x14ac:dyDescent="0.3">
      <c r="A57" s="113" t="s">
        <v>15</v>
      </c>
      <c r="B57" s="117"/>
      <c r="C57" s="117"/>
      <c r="D57" s="117"/>
      <c r="E57" s="117"/>
      <c r="F57" s="76"/>
      <c r="G57" s="76"/>
      <c r="H57" s="76"/>
      <c r="I57" s="76"/>
      <c r="J57" s="86"/>
      <c r="K57" s="76"/>
      <c r="L57" s="76"/>
      <c r="M57" s="76"/>
      <c r="N57" s="76"/>
      <c r="O57" s="76"/>
    </row>
    <row r="58" spans="1:15" x14ac:dyDescent="0.3">
      <c r="A58" s="76" t="s">
        <v>73</v>
      </c>
      <c r="B58" s="118"/>
      <c r="C58" s="118"/>
      <c r="D58" s="118"/>
      <c r="E58" s="118">
        <f>'9. Mill data'!B33</f>
        <v>0</v>
      </c>
      <c r="F58" s="76"/>
      <c r="G58" s="76"/>
      <c r="H58" s="76"/>
      <c r="I58" s="76"/>
      <c r="J58" s="86"/>
      <c r="K58" s="76"/>
      <c r="L58" s="76"/>
      <c r="M58" s="76"/>
      <c r="N58" s="76"/>
      <c r="O58" s="76"/>
    </row>
    <row r="59" spans="1:15" x14ac:dyDescent="0.3">
      <c r="A59" s="119" t="s">
        <v>310</v>
      </c>
      <c r="B59" s="118"/>
      <c r="C59" s="118"/>
      <c r="D59" s="118"/>
      <c r="E59" s="118">
        <f>'1. LUC emissions'!C59</f>
        <v>0</v>
      </c>
      <c r="F59" s="76"/>
      <c r="G59" s="76"/>
      <c r="H59" s="76"/>
      <c r="I59" s="76"/>
      <c r="J59" s="86"/>
      <c r="K59" s="76"/>
      <c r="L59" s="76"/>
      <c r="M59" s="76"/>
      <c r="N59" s="76"/>
      <c r="O59" s="76"/>
    </row>
    <row r="60" spans="1:15" x14ac:dyDescent="0.3">
      <c r="A60" s="119" t="s">
        <v>433</v>
      </c>
      <c r="B60" s="76"/>
      <c r="C60" s="76"/>
      <c r="D60" s="76"/>
      <c r="E60" s="107" t="e">
        <f>E58/E59</f>
        <v>#DIV/0!</v>
      </c>
      <c r="F60" s="76"/>
      <c r="G60" s="76"/>
      <c r="H60" s="76"/>
      <c r="I60" s="76"/>
      <c r="J60" s="86"/>
      <c r="K60" s="76"/>
      <c r="L60" s="76"/>
      <c r="M60" s="76"/>
      <c r="N60" s="76"/>
      <c r="O60" s="76"/>
    </row>
    <row r="61" spans="1:15" x14ac:dyDescent="0.3">
      <c r="A61" s="119" t="s">
        <v>434</v>
      </c>
      <c r="B61" s="76"/>
      <c r="C61" s="76"/>
      <c r="D61" s="76"/>
      <c r="E61" s="107" t="e">
        <f>E60*1000*'Default data'!B61/100</f>
        <v>#DIV/0!</v>
      </c>
      <c r="F61" s="76"/>
      <c r="G61" s="76"/>
      <c r="H61" s="76"/>
      <c r="I61" s="76"/>
      <c r="J61" s="86"/>
      <c r="K61" s="76"/>
      <c r="L61" s="76"/>
      <c r="M61" s="76"/>
      <c r="N61" s="76"/>
      <c r="O61" s="76"/>
    </row>
    <row r="62" spans="1:15" ht="15.6" x14ac:dyDescent="0.35">
      <c r="A62" s="224" t="s">
        <v>435</v>
      </c>
      <c r="B62" s="76"/>
      <c r="C62" s="76"/>
      <c r="D62" s="76"/>
      <c r="E62" s="93" t="e">
        <f>E61*1.57*'Default data'!B10</f>
        <v>#DIV/0!</v>
      </c>
      <c r="F62" s="76"/>
      <c r="G62" s="76"/>
      <c r="H62" s="76"/>
      <c r="I62" s="76"/>
      <c r="J62" s="86"/>
      <c r="K62" s="76"/>
      <c r="L62" s="76"/>
      <c r="M62" s="76"/>
      <c r="N62" s="76"/>
      <c r="O62" s="76"/>
    </row>
    <row r="63" spans="1:15" ht="15.6" x14ac:dyDescent="0.35">
      <c r="A63" s="224" t="s">
        <v>436</v>
      </c>
      <c r="B63" s="76"/>
      <c r="C63" s="76"/>
      <c r="D63" s="76"/>
      <c r="E63" s="93" t="e">
        <f>E61*(('Default data'!F61/100*'Default data'!B12)+('Default data'!B62/100*'Default data'!B11))*1.57</f>
        <v>#DIV/0!</v>
      </c>
      <c r="F63" s="76"/>
      <c r="G63" s="76"/>
      <c r="H63" s="76"/>
      <c r="I63" s="76"/>
      <c r="J63" s="86"/>
      <c r="K63" s="76"/>
      <c r="L63" s="76"/>
      <c r="M63" s="76"/>
      <c r="N63" s="76"/>
      <c r="O63" s="76"/>
    </row>
    <row r="64" spans="1:15" ht="15.6" x14ac:dyDescent="0.35">
      <c r="A64" s="120" t="s">
        <v>95</v>
      </c>
      <c r="B64" s="76"/>
      <c r="C64" s="76"/>
      <c r="D64" s="76"/>
      <c r="E64" s="93" t="e">
        <f>E62+E63</f>
        <v>#DIV/0!</v>
      </c>
      <c r="F64" s="76"/>
      <c r="G64" s="76"/>
      <c r="H64" s="76"/>
      <c r="I64" s="76"/>
      <c r="J64" s="86"/>
      <c r="K64" s="76"/>
      <c r="L64" s="76"/>
      <c r="M64" s="76"/>
      <c r="N64" s="76"/>
      <c r="O64" s="76"/>
    </row>
    <row r="65" spans="1:15" ht="15.6" x14ac:dyDescent="0.35">
      <c r="A65" s="120" t="s">
        <v>96</v>
      </c>
      <c r="B65" s="76"/>
      <c r="C65" s="76"/>
      <c r="D65" s="76"/>
      <c r="E65" s="93" t="e">
        <f>E64*'Default data'!B9/1000</f>
        <v>#DIV/0!</v>
      </c>
      <c r="F65" s="76"/>
      <c r="G65" s="76"/>
      <c r="H65" s="76"/>
      <c r="I65" s="76"/>
      <c r="J65" s="86"/>
      <c r="K65" s="76"/>
      <c r="L65" s="76"/>
      <c r="M65" s="76"/>
      <c r="N65" s="76"/>
      <c r="O65" s="76"/>
    </row>
    <row r="66" spans="1:15" x14ac:dyDescent="0.3">
      <c r="A66" s="76"/>
      <c r="B66" s="76"/>
      <c r="C66" s="76"/>
      <c r="D66" s="76"/>
      <c r="E66" s="76"/>
      <c r="F66" s="76"/>
      <c r="G66" s="76"/>
      <c r="H66" s="76"/>
      <c r="I66" s="83"/>
      <c r="J66" s="121"/>
    </row>
    <row r="67" spans="1:15" x14ac:dyDescent="0.3">
      <c r="A67" s="100" t="s">
        <v>13</v>
      </c>
      <c r="B67" s="76"/>
      <c r="C67" s="76"/>
      <c r="D67" s="76"/>
      <c r="E67" s="76"/>
      <c r="F67" s="76"/>
      <c r="G67" s="76"/>
      <c r="H67" s="76"/>
      <c r="I67" s="83"/>
      <c r="J67" s="122"/>
    </row>
    <row r="68" spans="1:15" x14ac:dyDescent="0.3">
      <c r="A68" s="119" t="s">
        <v>155</v>
      </c>
      <c r="B68" s="124"/>
      <c r="C68" s="124"/>
      <c r="D68" s="124"/>
      <c r="E68" s="294">
        <f>'9. Mill data'!B74</f>
        <v>0</v>
      </c>
      <c r="F68" s="89"/>
      <c r="G68" s="76"/>
      <c r="H68" s="76"/>
      <c r="I68" s="83"/>
      <c r="J68" s="125"/>
    </row>
    <row r="69" spans="1:15" x14ac:dyDescent="0.3">
      <c r="A69" s="119" t="s">
        <v>195</v>
      </c>
      <c r="B69" s="143"/>
      <c r="C69" s="143"/>
      <c r="D69" s="143"/>
      <c r="E69" s="124">
        <f>'9. Mill data'!B76</f>
        <v>0</v>
      </c>
      <c r="F69" s="76"/>
      <c r="G69" s="76"/>
      <c r="H69" s="76"/>
      <c r="I69" s="83"/>
      <c r="J69" s="125"/>
    </row>
    <row r="70" spans="1:15" x14ac:dyDescent="0.3">
      <c r="A70" s="119" t="s">
        <v>413</v>
      </c>
      <c r="B70" s="143"/>
      <c r="C70" s="143"/>
      <c r="D70" s="143"/>
      <c r="E70" s="124">
        <f>'9. Mill data'!B77</f>
        <v>0</v>
      </c>
      <c r="F70" s="76"/>
      <c r="G70" s="76"/>
      <c r="H70" s="76"/>
      <c r="I70" s="83"/>
      <c r="J70" s="125"/>
    </row>
    <row r="71" spans="1:15" x14ac:dyDescent="0.3">
      <c r="A71" s="119" t="s">
        <v>416</v>
      </c>
      <c r="B71" s="126"/>
      <c r="C71" s="126"/>
      <c r="D71" s="126"/>
      <c r="E71" s="126">
        <f>'1. LUC emissions'!C59</f>
        <v>0</v>
      </c>
      <c r="F71" s="76"/>
      <c r="G71" s="76"/>
      <c r="H71" s="76"/>
      <c r="I71" s="83"/>
      <c r="J71" s="112"/>
    </row>
    <row r="72" spans="1:15" x14ac:dyDescent="0.3">
      <c r="A72" s="119" t="s">
        <v>417</v>
      </c>
      <c r="B72" s="107"/>
      <c r="C72" s="107"/>
      <c r="D72" s="107"/>
      <c r="E72" s="107" t="e">
        <f>E68*E69/100/E71</f>
        <v>#DIV/0!</v>
      </c>
      <c r="F72" s="281"/>
      <c r="G72" s="76"/>
      <c r="H72" s="76"/>
      <c r="I72" s="83"/>
      <c r="J72" s="127"/>
    </row>
    <row r="73" spans="1:15" x14ac:dyDescent="0.3">
      <c r="A73" s="119" t="s">
        <v>418</v>
      </c>
      <c r="B73" s="107"/>
      <c r="C73" s="107"/>
      <c r="D73" s="107"/>
      <c r="E73" s="107" t="e">
        <f>E72*1000*'Default data'!B60/100</f>
        <v>#DIV/0!</v>
      </c>
      <c r="F73" s="76"/>
      <c r="G73" s="76"/>
      <c r="H73" s="76"/>
      <c r="I73" s="83"/>
      <c r="J73" s="127"/>
    </row>
    <row r="74" spans="1:15" ht="15.6" x14ac:dyDescent="0.35">
      <c r="A74" s="123" t="s">
        <v>419</v>
      </c>
      <c r="B74" s="93"/>
      <c r="C74" s="93"/>
      <c r="D74" s="93"/>
      <c r="E74" s="93" t="e">
        <f>E73*1.57*'Default data'!B10</f>
        <v>#DIV/0!</v>
      </c>
      <c r="F74" s="93"/>
      <c r="G74" s="76"/>
      <c r="H74" s="76"/>
      <c r="I74" s="92"/>
      <c r="J74" s="114"/>
    </row>
    <row r="75" spans="1:15" ht="15.6" x14ac:dyDescent="0.35">
      <c r="A75" s="123" t="s">
        <v>420</v>
      </c>
      <c r="B75" s="93"/>
      <c r="C75" s="93"/>
      <c r="D75" s="93"/>
      <c r="E75" s="93" t="e">
        <f>E73*(('Default data'!F60/100*'Default data'!B12)+('Default data'!B62/100*'Default data'!B11))*1.57</f>
        <v>#DIV/0!</v>
      </c>
      <c r="F75" s="93"/>
      <c r="G75" s="76"/>
      <c r="H75" s="76"/>
      <c r="I75" s="92"/>
      <c r="J75" s="114"/>
    </row>
    <row r="76" spans="1:15" ht="15.6" x14ac:dyDescent="0.35">
      <c r="A76" s="120" t="s">
        <v>97</v>
      </c>
      <c r="B76" s="93"/>
      <c r="C76" s="93"/>
      <c r="D76" s="93"/>
      <c r="E76" s="93" t="e">
        <f>E75+E74</f>
        <v>#DIV/0!</v>
      </c>
      <c r="F76" s="76"/>
      <c r="G76" s="76"/>
      <c r="H76" s="76"/>
      <c r="I76" s="86"/>
      <c r="J76" s="114"/>
    </row>
    <row r="77" spans="1:15" ht="15.6" x14ac:dyDescent="0.35">
      <c r="A77" s="120" t="s">
        <v>98</v>
      </c>
      <c r="B77" s="93"/>
      <c r="C77" s="93"/>
      <c r="D77" s="93"/>
      <c r="E77" s="93" t="e">
        <f>E76*'Default data'!B9/1000</f>
        <v>#DIV/0!</v>
      </c>
      <c r="F77" s="76"/>
      <c r="G77" s="76"/>
      <c r="H77" s="76"/>
      <c r="I77" s="86"/>
      <c r="J77" s="114"/>
    </row>
    <row r="78" spans="1:15" x14ac:dyDescent="0.3">
      <c r="A78" s="119" t="s">
        <v>431</v>
      </c>
      <c r="B78" s="143"/>
      <c r="C78" s="143"/>
      <c r="D78" s="143"/>
      <c r="E78" s="232"/>
      <c r="F78" s="76"/>
      <c r="G78" s="76"/>
      <c r="H78" s="76"/>
      <c r="I78" s="86"/>
      <c r="J78" s="114"/>
    </row>
    <row r="79" spans="1:15" x14ac:dyDescent="0.3">
      <c r="A79" s="119" t="s">
        <v>432</v>
      </c>
      <c r="B79" s="141"/>
      <c r="C79" s="141"/>
      <c r="D79" s="141"/>
      <c r="E79" s="93">
        <f>E78*'1. LUC emissions'!C59</f>
        <v>0</v>
      </c>
      <c r="F79" s="76"/>
      <c r="H79" s="76"/>
      <c r="I79" s="86"/>
      <c r="J79" s="114"/>
    </row>
    <row r="80" spans="1:15" x14ac:dyDescent="0.3">
      <c r="A80" s="119" t="s">
        <v>196</v>
      </c>
      <c r="B80" s="143"/>
      <c r="C80" s="143"/>
      <c r="D80" s="143"/>
      <c r="E80" s="232"/>
      <c r="F80" s="76"/>
      <c r="G80" s="76"/>
      <c r="H80" s="76"/>
      <c r="I80" s="86"/>
      <c r="J80" s="114"/>
    </row>
    <row r="81" spans="1:18" x14ac:dyDescent="0.3">
      <c r="A81" s="119" t="s">
        <v>421</v>
      </c>
      <c r="B81" s="93"/>
      <c r="C81" s="93"/>
      <c r="D81" s="93"/>
      <c r="E81" s="93">
        <f>E78*E80/100*1000</f>
        <v>0</v>
      </c>
      <c r="F81" s="76"/>
      <c r="G81" s="76"/>
      <c r="H81" s="76"/>
      <c r="I81" s="86"/>
      <c r="J81" s="114"/>
    </row>
    <row r="82" spans="1:18" ht="15.6" x14ac:dyDescent="0.35">
      <c r="A82" s="123" t="s">
        <v>419</v>
      </c>
      <c r="B82" s="93"/>
      <c r="C82" s="93"/>
      <c r="D82" s="93"/>
      <c r="E82" s="93">
        <f>E81*1.57*'Default data'!B10</f>
        <v>0</v>
      </c>
      <c r="F82" s="76"/>
      <c r="G82" s="76"/>
      <c r="H82" s="76"/>
      <c r="I82" s="86"/>
      <c r="J82" s="114"/>
    </row>
    <row r="83" spans="1:18" ht="15.6" x14ac:dyDescent="0.35">
      <c r="A83" s="123" t="s">
        <v>420</v>
      </c>
      <c r="B83" s="93"/>
      <c r="C83" s="93"/>
      <c r="D83" s="93"/>
      <c r="E83" s="93">
        <f>E81*(('Default data'!F60/100*'Default data'!B12)+('Default data'!B62/100*'Default data'!B11))*1.57</f>
        <v>0</v>
      </c>
      <c r="F83" s="76"/>
      <c r="G83" s="76"/>
      <c r="H83" s="76"/>
      <c r="I83" s="86"/>
      <c r="J83" s="114"/>
    </row>
    <row r="84" spans="1:18" ht="15.6" x14ac:dyDescent="0.35">
      <c r="A84" s="120" t="s">
        <v>197</v>
      </c>
      <c r="B84" s="93"/>
      <c r="C84" s="93"/>
      <c r="D84" s="93"/>
      <c r="E84" s="93">
        <f>E83+E82</f>
        <v>0</v>
      </c>
      <c r="F84" s="76"/>
      <c r="G84" s="76"/>
      <c r="H84" s="76"/>
      <c r="I84" s="86"/>
      <c r="J84" s="114"/>
    </row>
    <row r="85" spans="1:18" ht="15.6" x14ac:dyDescent="0.35">
      <c r="A85" s="120" t="s">
        <v>198</v>
      </c>
      <c r="B85" s="93"/>
      <c r="C85" s="93"/>
      <c r="D85" s="93"/>
      <c r="E85" s="93">
        <f>E84*'Default data'!B9/1000</f>
        <v>0</v>
      </c>
      <c r="F85" s="76"/>
      <c r="G85" s="76"/>
      <c r="H85" s="76"/>
      <c r="I85" s="86"/>
      <c r="J85" s="114"/>
    </row>
    <row r="86" spans="1:18" ht="33.75" customHeight="1" x14ac:dyDescent="0.3">
      <c r="A86" s="181" t="s">
        <v>199</v>
      </c>
      <c r="B86" s="93"/>
      <c r="C86" s="93"/>
      <c r="D86" s="93"/>
      <c r="E86" s="93" t="e">
        <f>E77+E85</f>
        <v>#DIV/0!</v>
      </c>
      <c r="F86" s="76"/>
      <c r="G86" s="76"/>
      <c r="H86" s="76"/>
      <c r="I86" s="86"/>
      <c r="J86" s="114"/>
    </row>
    <row r="87" spans="1:18" x14ac:dyDescent="0.3">
      <c r="A87" s="76"/>
      <c r="B87" s="76"/>
      <c r="C87" s="76"/>
      <c r="D87" s="76"/>
      <c r="E87" s="76"/>
      <c r="F87" s="76"/>
      <c r="G87" s="76"/>
      <c r="H87" s="76"/>
      <c r="I87" s="76"/>
      <c r="J87" s="76"/>
    </row>
    <row r="88" spans="1:18" ht="15.6" x14ac:dyDescent="0.35">
      <c r="A88" s="100" t="s">
        <v>150</v>
      </c>
      <c r="B88" s="76"/>
      <c r="C88" s="76"/>
      <c r="D88" s="76"/>
      <c r="E88" s="76"/>
      <c r="F88" s="76"/>
      <c r="G88" s="76"/>
      <c r="H88" s="76"/>
      <c r="I88" s="76"/>
      <c r="J88" s="76"/>
    </row>
    <row r="89" spans="1:18" ht="15.6" x14ac:dyDescent="0.35">
      <c r="A89" s="115" t="s">
        <v>378</v>
      </c>
      <c r="B89" s="106"/>
      <c r="C89" s="106"/>
      <c r="D89" s="106"/>
      <c r="E89" s="106">
        <f>H54</f>
        <v>0</v>
      </c>
      <c r="F89" s="114"/>
      <c r="G89" s="114"/>
      <c r="H89" s="114"/>
      <c r="I89" s="114"/>
      <c r="J89" s="114"/>
      <c r="K89" s="85"/>
      <c r="L89" s="85"/>
      <c r="M89" s="85"/>
      <c r="N89" s="85"/>
      <c r="O89" s="85"/>
      <c r="P89" s="85"/>
      <c r="Q89" s="85"/>
      <c r="R89" s="85"/>
    </row>
    <row r="90" spans="1:18" ht="15.6" x14ac:dyDescent="0.35">
      <c r="A90" s="115" t="s">
        <v>379</v>
      </c>
      <c r="B90" s="106"/>
      <c r="C90" s="106"/>
      <c r="D90" s="106"/>
      <c r="E90" s="93" t="e">
        <f>E86*'1. LUC emissions'!C59</f>
        <v>#DIV/0!</v>
      </c>
      <c r="F90" s="114"/>
      <c r="G90" s="114"/>
      <c r="H90" s="114"/>
      <c r="I90" s="114"/>
      <c r="J90" s="114"/>
      <c r="K90" s="85"/>
      <c r="L90" s="85"/>
      <c r="M90" s="85"/>
      <c r="N90" s="85"/>
      <c r="O90" s="85"/>
      <c r="P90" s="85"/>
      <c r="Q90" s="85"/>
      <c r="R90" s="85"/>
    </row>
    <row r="91" spans="1:18" ht="15.6" x14ac:dyDescent="0.35">
      <c r="A91" s="115" t="s">
        <v>437</v>
      </c>
      <c r="B91" s="93"/>
      <c r="C91" s="93"/>
      <c r="D91" s="93"/>
      <c r="E91" s="189" t="e">
        <f>E65*'1. LUC emissions'!C59</f>
        <v>#DIV/0!</v>
      </c>
      <c r="F91" s="114"/>
      <c r="G91" s="114"/>
      <c r="H91" s="114"/>
      <c r="I91" s="114"/>
      <c r="J91" s="114"/>
      <c r="K91" s="85"/>
      <c r="L91" s="85"/>
      <c r="M91" s="85"/>
      <c r="N91" s="85"/>
      <c r="O91" s="85"/>
      <c r="P91" s="85"/>
      <c r="Q91" s="85"/>
      <c r="R91" s="85"/>
    </row>
    <row r="92" spans="1:18" ht="15.6" x14ac:dyDescent="0.35">
      <c r="A92" s="115" t="s">
        <v>177</v>
      </c>
      <c r="B92" s="106"/>
      <c r="C92" s="106"/>
      <c r="D92" s="106"/>
      <c r="E92" s="93" t="e">
        <f>SUM(E89:E91)</f>
        <v>#DIV/0!</v>
      </c>
      <c r="F92" s="114"/>
      <c r="G92" s="114"/>
      <c r="H92" s="114"/>
      <c r="I92" s="114"/>
      <c r="J92" s="114"/>
      <c r="K92" s="85"/>
      <c r="L92" s="85"/>
      <c r="M92" s="85"/>
      <c r="N92" s="85"/>
      <c r="O92" s="85"/>
      <c r="P92" s="85"/>
      <c r="Q92" s="85"/>
      <c r="R92" s="85"/>
    </row>
    <row r="93" spans="1:18" ht="15.6" x14ac:dyDescent="0.35">
      <c r="A93" s="225" t="s">
        <v>438</v>
      </c>
      <c r="B93" s="93"/>
      <c r="C93" s="93"/>
      <c r="D93" s="93"/>
      <c r="E93" s="93">
        <f>'1. LUC emissions'!B56*'Default data'!B13*1.57*'Default data'!B9/1000</f>
        <v>0</v>
      </c>
      <c r="F93" s="114"/>
      <c r="G93" s="114"/>
      <c r="H93" s="114"/>
      <c r="I93" s="114"/>
      <c r="J93" s="114"/>
      <c r="K93" s="85"/>
      <c r="L93" s="85"/>
      <c r="M93" s="85"/>
      <c r="N93" s="85"/>
      <c r="O93" s="85"/>
      <c r="P93" s="85"/>
      <c r="Q93" s="85"/>
      <c r="R93" s="85"/>
    </row>
    <row r="94" spans="1:18" ht="15.6" x14ac:dyDescent="0.35">
      <c r="A94" s="115" t="s">
        <v>439</v>
      </c>
      <c r="B94" s="106"/>
      <c r="C94" s="106"/>
      <c r="D94" s="106"/>
      <c r="E94" s="134" t="e">
        <f>E92+E93</f>
        <v>#DIV/0!</v>
      </c>
      <c r="F94" s="114"/>
      <c r="G94" s="114"/>
      <c r="H94" s="114"/>
      <c r="I94" s="114"/>
      <c r="J94" s="114"/>
      <c r="K94" s="85"/>
      <c r="L94" s="85"/>
      <c r="M94" s="85"/>
      <c r="N94" s="85"/>
      <c r="O94" s="85"/>
      <c r="P94" s="85"/>
      <c r="Q94" s="85"/>
      <c r="R94" s="85"/>
    </row>
    <row r="95" spans="1:18" x14ac:dyDescent="0.3">
      <c r="A95" s="115"/>
      <c r="B95" s="114"/>
      <c r="C95" s="114"/>
      <c r="D95" s="114"/>
      <c r="E95" s="114"/>
      <c r="F95" s="114"/>
      <c r="G95" s="114"/>
      <c r="H95" s="114"/>
      <c r="I95" s="114"/>
      <c r="J95" s="114"/>
      <c r="K95" s="85"/>
      <c r="L95" s="85"/>
      <c r="M95" s="85"/>
      <c r="N95" s="85"/>
      <c r="O95" s="85"/>
      <c r="P95" s="85"/>
      <c r="Q95" s="85"/>
      <c r="R95" s="85"/>
    </row>
    <row r="96" spans="1:18" x14ac:dyDescent="0.3">
      <c r="A96" s="169" t="s">
        <v>63</v>
      </c>
      <c r="B96" s="160"/>
      <c r="C96" s="160"/>
      <c r="D96" s="160"/>
      <c r="E96" s="160" t="e">
        <f>#REF!</f>
        <v>#REF!</v>
      </c>
      <c r="F96" s="114"/>
      <c r="G96" s="114"/>
      <c r="H96" s="114"/>
      <c r="I96" s="114"/>
      <c r="J96" s="114"/>
      <c r="K96" s="85"/>
      <c r="L96" s="85"/>
      <c r="M96" s="85"/>
      <c r="N96" s="85"/>
      <c r="O96" s="85"/>
      <c r="P96" s="85"/>
      <c r="Q96" s="85"/>
      <c r="R96" s="85"/>
    </row>
    <row r="97" spans="1:18" ht="15.6" x14ac:dyDescent="0.35">
      <c r="A97" s="162" t="s">
        <v>99</v>
      </c>
      <c r="B97" s="150"/>
      <c r="C97" s="150"/>
      <c r="D97" s="150"/>
      <c r="E97" s="170" t="e">
        <f>#REF!</f>
        <v>#REF!</v>
      </c>
      <c r="F97" s="114"/>
      <c r="G97" s="114"/>
      <c r="H97" s="114"/>
      <c r="I97" s="114"/>
      <c r="J97" s="114"/>
      <c r="K97" s="85"/>
      <c r="L97" s="85"/>
      <c r="M97" s="85"/>
      <c r="N97" s="85"/>
      <c r="O97" s="85"/>
      <c r="P97" s="85"/>
      <c r="Q97" s="85"/>
      <c r="R97" s="85"/>
    </row>
    <row r="98" spans="1:18" ht="15.6" x14ac:dyDescent="0.35">
      <c r="A98" s="162" t="s">
        <v>100</v>
      </c>
      <c r="B98" s="171"/>
      <c r="C98" s="171"/>
      <c r="D98" s="171"/>
      <c r="E98" s="171">
        <v>0</v>
      </c>
      <c r="F98" s="114"/>
      <c r="G98" s="114"/>
      <c r="H98" s="114"/>
      <c r="I98" s="114"/>
      <c r="J98" s="114"/>
      <c r="K98" s="85"/>
      <c r="L98" s="85"/>
      <c r="M98" s="85"/>
      <c r="N98" s="85"/>
      <c r="O98" s="85"/>
      <c r="P98" s="85"/>
      <c r="Q98" s="85"/>
      <c r="R98" s="85"/>
    </row>
    <row r="99" spans="1:18" ht="15.6" x14ac:dyDescent="0.35">
      <c r="A99" s="162" t="s">
        <v>101</v>
      </c>
      <c r="B99" s="171"/>
      <c r="C99" s="171"/>
      <c r="D99" s="171"/>
      <c r="E99" s="171">
        <v>0</v>
      </c>
      <c r="F99" s="114"/>
      <c r="G99" s="114"/>
      <c r="H99" s="114"/>
      <c r="I99" s="114"/>
      <c r="J99" s="114"/>
      <c r="K99" s="85"/>
      <c r="L99" s="85"/>
      <c r="M99" s="85"/>
      <c r="N99" s="85"/>
      <c r="O99" s="85"/>
      <c r="P99" s="85"/>
      <c r="Q99" s="85"/>
      <c r="R99" s="85"/>
    </row>
    <row r="100" spans="1:18" ht="15.6" x14ac:dyDescent="0.35">
      <c r="A100" s="162" t="s">
        <v>102</v>
      </c>
      <c r="B100" s="150"/>
      <c r="C100" s="150"/>
      <c r="D100" s="150"/>
      <c r="E100" s="150" t="e">
        <f>SUM(E97:E99)</f>
        <v>#REF!</v>
      </c>
      <c r="F100" s="114"/>
      <c r="G100" s="114"/>
      <c r="H100" s="114"/>
      <c r="I100" s="114"/>
      <c r="J100" s="114"/>
      <c r="K100" s="85"/>
      <c r="L100" s="85"/>
      <c r="M100" s="85"/>
      <c r="N100" s="85"/>
      <c r="O100" s="85"/>
      <c r="P100" s="85"/>
      <c r="Q100" s="85"/>
      <c r="R100" s="85"/>
    </row>
    <row r="101" spans="1:18" ht="15.6" x14ac:dyDescent="0.35">
      <c r="A101" s="162" t="s">
        <v>177</v>
      </c>
      <c r="B101" s="163"/>
      <c r="C101" s="163"/>
      <c r="D101" s="163"/>
      <c r="E101" s="166" t="e">
        <f>E100*#REF!</f>
        <v>#REF!</v>
      </c>
      <c r="F101" s="85"/>
      <c r="G101" s="85"/>
      <c r="H101" s="85"/>
      <c r="I101" s="85"/>
      <c r="J101" s="85"/>
      <c r="K101" s="85"/>
      <c r="L101" s="85"/>
      <c r="M101" s="85"/>
      <c r="N101" s="85"/>
      <c r="O101" s="85"/>
      <c r="P101" s="85"/>
      <c r="Q101" s="85"/>
      <c r="R101" s="85"/>
    </row>
    <row r="102" spans="1:18" x14ac:dyDescent="0.3">
      <c r="B102" s="85"/>
    </row>
    <row r="103" spans="1:18" x14ac:dyDescent="0.3">
      <c r="B103" s="85"/>
    </row>
    <row r="104" spans="1:18" x14ac:dyDescent="0.3">
      <c r="A104" s="412" t="s">
        <v>467</v>
      </c>
      <c r="B104" s="85"/>
    </row>
    <row r="105" spans="1:18" x14ac:dyDescent="0.3">
      <c r="B105" s="85"/>
    </row>
  </sheetData>
  <sheetProtection formatCells="0" formatColumns="0" formatRows="0" insertColumns="0" insertRows="0"/>
  <customSheetViews>
    <customSheetView guid="{E65377FD-65C5-4E48-ADBC-1C49981F2400}" topLeftCell="A19">
      <selection activeCell="C306" sqref="C306"/>
      <pageMargins left="0.7" right="0.7" top="0.75" bottom="0.75" header="0.3" footer="0.3"/>
      <pageSetup orientation="portrait" r:id="rId1"/>
    </customSheetView>
  </customSheetViews>
  <mergeCells count="4">
    <mergeCell ref="B7:C7"/>
    <mergeCell ref="A3:J3"/>
    <mergeCell ref="G31:G32"/>
    <mergeCell ref="H31:I31"/>
  </mergeCells>
  <pageMargins left="0.7" right="0.7" top="0.75" bottom="0.75" header="0.3" footer="0.3"/>
  <pageSetup orientation="portrait"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K10"/>
  <sheetViews>
    <sheetView showGridLines="0" workbookViewId="0">
      <selection activeCell="B10" sqref="B10"/>
    </sheetView>
  </sheetViews>
  <sheetFormatPr defaultColWidth="9.109375" defaultRowHeight="14.4" x14ac:dyDescent="0.3"/>
  <cols>
    <col min="1" max="1" width="9.109375" style="66"/>
    <col min="2" max="2" width="16.88671875" style="66" customWidth="1"/>
    <col min="3" max="3" width="13.33203125" style="66" customWidth="1"/>
    <col min="4" max="4" width="18" style="66" customWidth="1"/>
    <col min="5" max="5" width="16.44140625" style="66" customWidth="1"/>
    <col min="6" max="11" width="18.44140625" style="66" customWidth="1"/>
    <col min="12" max="16384" width="9.109375" style="66"/>
  </cols>
  <sheetData>
    <row r="1" spans="1:11" x14ac:dyDescent="0.3">
      <c r="A1" s="77" t="s">
        <v>140</v>
      </c>
    </row>
    <row r="2" spans="1:11" ht="12.75" customHeight="1" x14ac:dyDescent="0.3"/>
    <row r="3" spans="1:11" ht="91.5" customHeight="1" x14ac:dyDescent="0.3">
      <c r="A3" s="445" t="s">
        <v>452</v>
      </c>
      <c r="B3" s="446"/>
      <c r="C3" s="446"/>
      <c r="D3" s="446"/>
      <c r="E3" s="446"/>
      <c r="F3" s="446"/>
      <c r="G3" s="446"/>
      <c r="H3" s="447"/>
      <c r="I3" s="447"/>
      <c r="J3" s="447"/>
      <c r="K3" s="448"/>
    </row>
    <row r="4" spans="1:11" ht="15" thickBot="1" x14ac:dyDescent="0.35"/>
    <row r="5" spans="1:11" ht="41.25" customHeight="1" thickTop="1" x14ac:dyDescent="0.3">
      <c r="A5" s="444" t="s">
        <v>453</v>
      </c>
      <c r="B5" s="444"/>
      <c r="C5" s="396"/>
      <c r="F5" s="449" t="s">
        <v>454</v>
      </c>
      <c r="G5" s="450"/>
      <c r="H5" s="450"/>
      <c r="I5" s="450"/>
      <c r="J5" s="450"/>
      <c r="K5" s="451"/>
    </row>
    <row r="6" spans="1:11" ht="42" customHeight="1" x14ac:dyDescent="0.3">
      <c r="A6" s="444" t="s">
        <v>152</v>
      </c>
      <c r="B6" s="444"/>
      <c r="C6" s="396"/>
      <c r="F6" s="452"/>
      <c r="G6" s="453"/>
      <c r="H6" s="453"/>
      <c r="I6" s="453"/>
      <c r="J6" s="453"/>
      <c r="K6" s="454"/>
    </row>
    <row r="7" spans="1:11" ht="58.5" customHeight="1" x14ac:dyDescent="0.3">
      <c r="A7" s="444" t="s">
        <v>153</v>
      </c>
      <c r="B7" s="444"/>
      <c r="C7" s="93" t="e">
        <f>C5*C6/'1. LUC emissions'!C59</f>
        <v>#DIV/0!</v>
      </c>
      <c r="F7" s="452"/>
      <c r="G7" s="453"/>
      <c r="H7" s="453"/>
      <c r="I7" s="453"/>
      <c r="J7" s="453"/>
      <c r="K7" s="454"/>
    </row>
    <row r="8" spans="1:11" ht="56.25" customHeight="1" thickBot="1" x14ac:dyDescent="0.4">
      <c r="A8" s="444" t="s">
        <v>164</v>
      </c>
      <c r="B8" s="444"/>
      <c r="C8" s="105">
        <f>C5*C6</f>
        <v>0</v>
      </c>
      <c r="F8" s="455"/>
      <c r="G8" s="456"/>
      <c r="H8" s="456"/>
      <c r="I8" s="456"/>
      <c r="J8" s="456"/>
      <c r="K8" s="457"/>
    </row>
    <row r="9" spans="1:11" ht="15" thickTop="1" x14ac:dyDescent="0.3"/>
    <row r="10" spans="1:11" x14ac:dyDescent="0.3">
      <c r="A10" s="412" t="s">
        <v>467</v>
      </c>
    </row>
  </sheetData>
  <sheetProtection formatCells="0" formatColumns="0" formatRows="0" insertColumns="0" insertRows="0"/>
  <customSheetViews>
    <customSheetView guid="{E65377FD-65C5-4E48-ADBC-1C49981F2400}">
      <selection activeCell="M5" sqref="M5"/>
      <pageMargins left="0.7" right="0.7" top="0.75" bottom="0.75" header="0.3" footer="0.3"/>
      <pageSetup paperSize="9" orientation="portrait" r:id="rId1"/>
    </customSheetView>
  </customSheetViews>
  <mergeCells count="6">
    <mergeCell ref="A5:B5"/>
    <mergeCell ref="A6:B6"/>
    <mergeCell ref="A7:B7"/>
    <mergeCell ref="A8:B8"/>
    <mergeCell ref="A3:K3"/>
    <mergeCell ref="F5:K8"/>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sheetPr>
  <dimension ref="A2:Q34"/>
  <sheetViews>
    <sheetView showGridLines="0" workbookViewId="0">
      <selection activeCell="V5" sqref="V5"/>
    </sheetView>
  </sheetViews>
  <sheetFormatPr defaultRowHeight="14.4" x14ac:dyDescent="0.3"/>
  <cols>
    <col min="1" max="1" width="10" customWidth="1"/>
    <col min="2" max="5" width="9.88671875" customWidth="1"/>
    <col min="6" max="6" width="10.6640625" customWidth="1"/>
    <col min="7" max="7" width="16.44140625" customWidth="1"/>
    <col min="8" max="8" width="13.109375" customWidth="1"/>
    <col min="9" max="9" width="4.44140625" customWidth="1"/>
    <col min="10" max="10" width="10" customWidth="1"/>
    <col min="11" max="14" width="9.88671875" customWidth="1"/>
    <col min="15" max="15" width="10.6640625" customWidth="1"/>
    <col min="16" max="16" width="16.44140625" customWidth="1"/>
    <col min="17" max="17" width="13.109375" customWidth="1"/>
  </cols>
  <sheetData>
    <row r="2" spans="1:17" ht="59.25" customHeight="1" x14ac:dyDescent="0.3">
      <c r="A2" s="458" t="s">
        <v>469</v>
      </c>
      <c r="B2" s="427"/>
      <c r="C2" s="427"/>
      <c r="D2" s="427"/>
      <c r="E2" s="427"/>
      <c r="F2" s="427"/>
      <c r="G2" s="427"/>
      <c r="H2" s="427"/>
      <c r="I2" s="427"/>
      <c r="J2" s="427"/>
      <c r="K2" s="427"/>
      <c r="L2" s="427"/>
      <c r="M2" s="427"/>
      <c r="N2" s="427"/>
      <c r="O2" s="427"/>
      <c r="P2" s="427"/>
      <c r="Q2" s="427"/>
    </row>
    <row r="4" spans="1:17" x14ac:dyDescent="0.3">
      <c r="A4" s="7" t="s">
        <v>270</v>
      </c>
      <c r="I4" s="365"/>
      <c r="J4" s="7" t="s">
        <v>277</v>
      </c>
    </row>
    <row r="5" spans="1:17" ht="28.8" x14ac:dyDescent="0.3">
      <c r="A5" s="191"/>
      <c r="B5" s="366" t="s">
        <v>272</v>
      </c>
      <c r="C5" s="366" t="s">
        <v>273</v>
      </c>
      <c r="D5" s="366" t="s">
        <v>274</v>
      </c>
      <c r="E5" s="366" t="s">
        <v>275</v>
      </c>
      <c r="F5" s="366" t="s">
        <v>276</v>
      </c>
      <c r="G5" s="367" t="s">
        <v>444</v>
      </c>
      <c r="H5" s="367" t="s">
        <v>279</v>
      </c>
      <c r="I5" s="365"/>
      <c r="J5" s="191"/>
      <c r="K5" s="366" t="s">
        <v>272</v>
      </c>
      <c r="L5" s="366" t="s">
        <v>273</v>
      </c>
      <c r="M5" s="366" t="s">
        <v>274</v>
      </c>
      <c r="N5" s="366" t="s">
        <v>275</v>
      </c>
      <c r="O5" s="366" t="s">
        <v>276</v>
      </c>
      <c r="P5" s="367" t="s">
        <v>278</v>
      </c>
      <c r="Q5" s="367" t="s">
        <v>279</v>
      </c>
    </row>
    <row r="6" spans="1:17" ht="28.8" x14ac:dyDescent="0.3">
      <c r="A6" s="366" t="s">
        <v>271</v>
      </c>
      <c r="B6" s="191"/>
      <c r="C6" s="191"/>
      <c r="D6" s="191"/>
      <c r="E6" s="191"/>
      <c r="F6" s="191"/>
      <c r="G6" s="191"/>
      <c r="H6" s="191"/>
      <c r="I6" s="365"/>
      <c r="J6" s="366" t="s">
        <v>271</v>
      </c>
      <c r="K6" s="191"/>
      <c r="L6" s="191"/>
      <c r="M6" s="191"/>
      <c r="N6" s="191"/>
      <c r="O6" s="191"/>
      <c r="P6" s="191"/>
      <c r="Q6" s="191"/>
    </row>
    <row r="7" spans="1:17" x14ac:dyDescent="0.3">
      <c r="A7" s="368">
        <v>1</v>
      </c>
      <c r="B7" s="369">
        <v>4.8344399999999998</v>
      </c>
      <c r="C7" s="369">
        <v>11.12</v>
      </c>
      <c r="D7" s="369">
        <v>0</v>
      </c>
      <c r="E7" s="369">
        <v>0</v>
      </c>
      <c r="F7" s="369">
        <v>15.95</v>
      </c>
      <c r="G7" s="370">
        <f>F31/25</f>
        <v>5.1063999999999998</v>
      </c>
      <c r="H7" s="370">
        <f>G7*0.5*44/12</f>
        <v>9.3617333333333335</v>
      </c>
      <c r="I7" s="365"/>
      <c r="J7" s="368">
        <v>1</v>
      </c>
      <c r="K7" s="369">
        <v>4.46</v>
      </c>
      <c r="L7" s="369">
        <v>10.57</v>
      </c>
      <c r="M7" s="369">
        <v>0</v>
      </c>
      <c r="N7" s="369">
        <v>0</v>
      </c>
      <c r="O7" s="369">
        <v>15.03</v>
      </c>
      <c r="P7" s="370">
        <f>O31/25</f>
        <v>4.7427999999999999</v>
      </c>
      <c r="Q7" s="370">
        <f>P7*0.5*44/12</f>
        <v>8.6951333333333327</v>
      </c>
    </row>
    <row r="8" spans="1:17" x14ac:dyDescent="0.3">
      <c r="A8" s="368">
        <v>2</v>
      </c>
      <c r="B8" s="369">
        <v>9.4600000000000009</v>
      </c>
      <c r="C8" s="369">
        <v>9.6199999999999992</v>
      </c>
      <c r="D8" s="369">
        <v>0</v>
      </c>
      <c r="E8" s="369">
        <v>0.02</v>
      </c>
      <c r="F8" s="369">
        <v>19.100000000000001</v>
      </c>
      <c r="G8" s="370">
        <f>F31/25</f>
        <v>5.1063999999999998</v>
      </c>
      <c r="H8" s="370">
        <f>G8*0.5*44/12</f>
        <v>9.3617333333333335</v>
      </c>
      <c r="I8" s="365"/>
      <c r="J8" s="368">
        <v>2</v>
      </c>
      <c r="K8" s="369">
        <v>8.2799999999999994</v>
      </c>
      <c r="L8" s="369">
        <v>10.87</v>
      </c>
      <c r="M8" s="369">
        <v>0</v>
      </c>
      <c r="N8" s="369">
        <v>0.02</v>
      </c>
      <c r="O8" s="369">
        <v>19.170000000000002</v>
      </c>
      <c r="P8" s="370">
        <f>O31/25</f>
        <v>4.7427999999999999</v>
      </c>
      <c r="Q8" s="370">
        <f>P8*0.5*44/12</f>
        <v>8.6951333333333327</v>
      </c>
    </row>
    <row r="9" spans="1:17" x14ac:dyDescent="0.3">
      <c r="A9" s="368">
        <v>3</v>
      </c>
      <c r="B9" s="369">
        <v>15.99</v>
      </c>
      <c r="C9" s="369">
        <v>7.6</v>
      </c>
      <c r="D9" s="369">
        <v>4.08</v>
      </c>
      <c r="E9" s="369">
        <v>0.04</v>
      </c>
      <c r="F9" s="369">
        <v>27.71</v>
      </c>
      <c r="G9" s="370">
        <f>F31/25</f>
        <v>5.1063999999999998</v>
      </c>
      <c r="H9" s="370">
        <f t="shared" ref="H9:H31" si="0">G9*0.5*44/12</f>
        <v>9.3617333333333335</v>
      </c>
      <c r="I9" s="365"/>
      <c r="J9" s="368">
        <v>3</v>
      </c>
      <c r="K9" s="369">
        <v>13.8</v>
      </c>
      <c r="L9" s="369">
        <v>9.69</v>
      </c>
      <c r="M9" s="369">
        <v>2.98</v>
      </c>
      <c r="N9" s="369">
        <v>0.05</v>
      </c>
      <c r="O9" s="369">
        <v>26.52</v>
      </c>
      <c r="P9" s="370">
        <f>O31/25</f>
        <v>4.7427999999999999</v>
      </c>
      <c r="Q9" s="370">
        <f t="shared" ref="Q9:Q31" si="1">P9*0.5*44/12</f>
        <v>8.6951333333333327</v>
      </c>
    </row>
    <row r="10" spans="1:17" x14ac:dyDescent="0.3">
      <c r="A10" s="368">
        <v>4</v>
      </c>
      <c r="B10" s="369">
        <v>22.7</v>
      </c>
      <c r="C10" s="369">
        <v>6.16</v>
      </c>
      <c r="D10" s="369">
        <v>5.57</v>
      </c>
      <c r="E10" s="369">
        <v>7.0000000000000007E-2</v>
      </c>
      <c r="F10" s="369">
        <v>34.5</v>
      </c>
      <c r="G10" s="370">
        <f>F31/25</f>
        <v>5.1063999999999998</v>
      </c>
      <c r="H10" s="370">
        <f t="shared" si="0"/>
        <v>9.3617333333333335</v>
      </c>
      <c r="I10" s="365"/>
      <c r="J10" s="368">
        <v>4</v>
      </c>
      <c r="K10" s="369">
        <v>19.72</v>
      </c>
      <c r="L10" s="369">
        <v>8.5</v>
      </c>
      <c r="M10" s="369">
        <v>4.04</v>
      </c>
      <c r="N10" s="369">
        <v>0.08</v>
      </c>
      <c r="O10" s="369">
        <v>32.340000000000003</v>
      </c>
      <c r="P10" s="370">
        <f>O31/25</f>
        <v>4.7427999999999999</v>
      </c>
      <c r="Q10" s="370">
        <f t="shared" si="1"/>
        <v>8.6951333333333327</v>
      </c>
    </row>
    <row r="11" spans="1:17" x14ac:dyDescent="0.3">
      <c r="A11" s="368">
        <v>5</v>
      </c>
      <c r="B11" s="369">
        <v>29.05</v>
      </c>
      <c r="C11" s="369">
        <v>5.27</v>
      </c>
      <c r="D11" s="369">
        <v>6.07</v>
      </c>
      <c r="E11" s="369">
        <v>0.1</v>
      </c>
      <c r="F11" s="369">
        <v>40.49</v>
      </c>
      <c r="G11" s="370">
        <f>F31/25</f>
        <v>5.1063999999999998</v>
      </c>
      <c r="H11" s="370">
        <f t="shared" si="0"/>
        <v>9.3617333333333335</v>
      </c>
      <c r="I11" s="365"/>
      <c r="J11" s="368">
        <v>5</v>
      </c>
      <c r="K11" s="369">
        <v>25.48</v>
      </c>
      <c r="L11" s="369">
        <v>7.57</v>
      </c>
      <c r="M11" s="369">
        <v>4.38</v>
      </c>
      <c r="N11" s="369">
        <v>0.11</v>
      </c>
      <c r="O11" s="369">
        <v>37.54</v>
      </c>
      <c r="P11" s="370">
        <f>O31/25</f>
        <v>4.7427999999999999</v>
      </c>
      <c r="Q11" s="370">
        <f t="shared" si="1"/>
        <v>8.6951333333333327</v>
      </c>
    </row>
    <row r="12" spans="1:17" x14ac:dyDescent="0.3">
      <c r="A12" s="368">
        <v>6</v>
      </c>
      <c r="B12" s="369">
        <v>35.049999999999997</v>
      </c>
      <c r="C12" s="369">
        <v>4.76</v>
      </c>
      <c r="D12" s="369">
        <v>6.35</v>
      </c>
      <c r="E12" s="369">
        <v>0.13</v>
      </c>
      <c r="F12" s="369">
        <v>46.29</v>
      </c>
      <c r="G12" s="370">
        <f>F31/25</f>
        <v>5.1063999999999998</v>
      </c>
      <c r="H12" s="370">
        <f t="shared" si="0"/>
        <v>9.3617333333333335</v>
      </c>
      <c r="I12" s="365"/>
      <c r="J12" s="368">
        <v>6</v>
      </c>
      <c r="K12" s="369">
        <v>31.06</v>
      </c>
      <c r="L12" s="369">
        <v>6.93</v>
      </c>
      <c r="M12" s="369">
        <v>4.57</v>
      </c>
      <c r="N12" s="369">
        <v>0.14000000000000001</v>
      </c>
      <c r="O12" s="369">
        <v>42.7</v>
      </c>
      <c r="P12" s="370">
        <f>O31/25</f>
        <v>4.7427999999999999</v>
      </c>
      <c r="Q12" s="370">
        <f t="shared" si="1"/>
        <v>8.6951333333333327</v>
      </c>
    </row>
    <row r="13" spans="1:17" x14ac:dyDescent="0.3">
      <c r="A13" s="368">
        <v>7</v>
      </c>
      <c r="B13" s="369">
        <v>40.98</v>
      </c>
      <c r="C13" s="369">
        <v>4.28</v>
      </c>
      <c r="D13" s="369">
        <v>6.3</v>
      </c>
      <c r="E13" s="369">
        <v>0.16</v>
      </c>
      <c r="F13" s="369">
        <v>51.72</v>
      </c>
      <c r="G13" s="370">
        <f>F31/25</f>
        <v>5.1063999999999998</v>
      </c>
      <c r="H13" s="370">
        <f t="shared" si="0"/>
        <v>9.3617333333333335</v>
      </c>
      <c r="I13" s="365"/>
      <c r="J13" s="368">
        <v>7</v>
      </c>
      <c r="K13" s="369">
        <v>36.630000000000003</v>
      </c>
      <c r="L13" s="369">
        <v>6.25</v>
      </c>
      <c r="M13" s="369">
        <v>4.5199999999999996</v>
      </c>
      <c r="N13" s="369">
        <v>0.17</v>
      </c>
      <c r="O13" s="369">
        <v>47.57</v>
      </c>
      <c r="P13" s="370">
        <f>O31/25</f>
        <v>4.7427999999999999</v>
      </c>
      <c r="Q13" s="370">
        <f t="shared" si="1"/>
        <v>8.6951333333333327</v>
      </c>
    </row>
    <row r="14" spans="1:17" x14ac:dyDescent="0.3">
      <c r="A14" s="368">
        <v>8</v>
      </c>
      <c r="B14" s="369">
        <v>47</v>
      </c>
      <c r="C14" s="369">
        <v>3.93</v>
      </c>
      <c r="D14" s="369">
        <v>6.42</v>
      </c>
      <c r="E14" s="369">
        <v>0.45</v>
      </c>
      <c r="F14" s="369">
        <v>57.8</v>
      </c>
      <c r="G14" s="370">
        <f>F31/25</f>
        <v>5.1063999999999998</v>
      </c>
      <c r="H14" s="370">
        <f t="shared" si="0"/>
        <v>9.3617333333333335</v>
      </c>
      <c r="I14" s="365"/>
      <c r="J14" s="368">
        <v>8</v>
      </c>
      <c r="K14" s="369">
        <v>42.3</v>
      </c>
      <c r="L14" s="369">
        <v>5.7</v>
      </c>
      <c r="M14" s="369">
        <v>4.6100000000000003</v>
      </c>
      <c r="N14" s="369">
        <v>0.39</v>
      </c>
      <c r="O14" s="369">
        <v>53</v>
      </c>
      <c r="P14" s="370">
        <f>O31/25</f>
        <v>4.7427999999999999</v>
      </c>
      <c r="Q14" s="370">
        <f t="shared" si="1"/>
        <v>8.6951333333333327</v>
      </c>
    </row>
    <row r="15" spans="1:17" x14ac:dyDescent="0.3">
      <c r="A15" s="368">
        <v>9</v>
      </c>
      <c r="B15" s="369">
        <v>52.92</v>
      </c>
      <c r="C15" s="369">
        <v>3.66</v>
      </c>
      <c r="D15" s="369">
        <v>6.58</v>
      </c>
      <c r="E15" s="369">
        <v>0.84</v>
      </c>
      <c r="F15" s="369">
        <v>64</v>
      </c>
      <c r="G15" s="370">
        <f>F31/25</f>
        <v>5.1063999999999998</v>
      </c>
      <c r="H15" s="370">
        <f t="shared" si="0"/>
        <v>9.3617333333333335</v>
      </c>
      <c r="I15" s="365"/>
      <c r="J15" s="368">
        <v>9</v>
      </c>
      <c r="K15" s="369">
        <v>47.9</v>
      </c>
      <c r="L15" s="369">
        <v>5.24</v>
      </c>
      <c r="M15" s="369">
        <v>4.74</v>
      </c>
      <c r="N15" s="369">
        <v>0.69</v>
      </c>
      <c r="O15" s="369">
        <v>58.57</v>
      </c>
      <c r="P15" s="370">
        <f>O31/25</f>
        <v>4.7427999999999999</v>
      </c>
      <c r="Q15" s="370">
        <f t="shared" si="1"/>
        <v>8.6951333333333327</v>
      </c>
    </row>
    <row r="16" spans="1:17" x14ac:dyDescent="0.3">
      <c r="A16" s="368">
        <v>10</v>
      </c>
      <c r="B16" s="369">
        <v>58.69</v>
      </c>
      <c r="C16" s="369">
        <v>3.46</v>
      </c>
      <c r="D16" s="369">
        <v>6.73</v>
      </c>
      <c r="E16" s="369">
        <v>1.1000000000000001</v>
      </c>
      <c r="F16" s="369">
        <v>69.98</v>
      </c>
      <c r="G16" s="370">
        <f>F31/25</f>
        <v>5.1063999999999998</v>
      </c>
      <c r="H16" s="370">
        <f t="shared" si="0"/>
        <v>9.3617333333333335</v>
      </c>
      <c r="I16" s="365"/>
      <c r="J16" s="368">
        <v>10</v>
      </c>
      <c r="K16" s="369">
        <v>53.4</v>
      </c>
      <c r="L16" s="369">
        <v>4.8600000000000003</v>
      </c>
      <c r="M16" s="369">
        <v>4.8600000000000003</v>
      </c>
      <c r="N16" s="369">
        <v>0.89</v>
      </c>
      <c r="O16" s="369">
        <v>64.010000000000005</v>
      </c>
      <c r="P16" s="370">
        <f>O31/25</f>
        <v>4.7427999999999999</v>
      </c>
      <c r="Q16" s="370">
        <f t="shared" si="1"/>
        <v>8.6951333333333327</v>
      </c>
    </row>
    <row r="17" spans="1:17" x14ac:dyDescent="0.3">
      <c r="A17" s="368">
        <v>11</v>
      </c>
      <c r="B17" s="369">
        <v>64.319999999999993</v>
      </c>
      <c r="C17" s="369">
        <v>3.3</v>
      </c>
      <c r="D17" s="369">
        <v>6.89</v>
      </c>
      <c r="E17" s="369">
        <v>1.33</v>
      </c>
      <c r="F17" s="369">
        <v>75.84</v>
      </c>
      <c r="G17" s="370">
        <f>F31/25</f>
        <v>5.1063999999999998</v>
      </c>
      <c r="H17" s="370">
        <f t="shared" si="0"/>
        <v>9.3617333333333335</v>
      </c>
      <c r="I17" s="365"/>
      <c r="J17" s="368">
        <v>11</v>
      </c>
      <c r="K17" s="369">
        <v>58.78</v>
      </c>
      <c r="L17" s="369">
        <v>4.54</v>
      </c>
      <c r="M17" s="369">
        <v>4.99</v>
      </c>
      <c r="N17" s="369">
        <v>1.07</v>
      </c>
      <c r="O17" s="369">
        <v>69.38</v>
      </c>
      <c r="P17" s="370">
        <f>O31/25</f>
        <v>4.7427999999999999</v>
      </c>
      <c r="Q17" s="370">
        <f t="shared" si="1"/>
        <v>8.6951333333333327</v>
      </c>
    </row>
    <row r="18" spans="1:17" x14ac:dyDescent="0.3">
      <c r="A18" s="368">
        <v>12</v>
      </c>
      <c r="B18" s="369">
        <v>69.760000000000005</v>
      </c>
      <c r="C18" s="369">
        <v>3.17</v>
      </c>
      <c r="D18" s="369">
        <v>7.05</v>
      </c>
      <c r="E18" s="369">
        <v>1.55</v>
      </c>
      <c r="F18" s="369">
        <v>81.53</v>
      </c>
      <c r="G18" s="370">
        <f>F31/25</f>
        <v>5.1063999999999998</v>
      </c>
      <c r="H18" s="370">
        <f t="shared" si="0"/>
        <v>9.3617333333333335</v>
      </c>
      <c r="I18" s="365"/>
      <c r="J18" s="368">
        <v>12</v>
      </c>
      <c r="K18" s="369">
        <v>64.010000000000005</v>
      </c>
      <c r="L18" s="369">
        <v>4.2699999999999996</v>
      </c>
      <c r="M18" s="369">
        <v>5.12</v>
      </c>
      <c r="N18" s="369">
        <v>1.24</v>
      </c>
      <c r="O18" s="369">
        <v>74.64</v>
      </c>
      <c r="P18" s="370">
        <f>O31/25</f>
        <v>4.7427999999999999</v>
      </c>
      <c r="Q18" s="370">
        <f t="shared" si="1"/>
        <v>8.6951333333333327</v>
      </c>
    </row>
    <row r="19" spans="1:17" x14ac:dyDescent="0.3">
      <c r="A19" s="368">
        <v>13</v>
      </c>
      <c r="B19" s="369">
        <v>75</v>
      </c>
      <c r="C19" s="369">
        <v>3.07</v>
      </c>
      <c r="D19" s="369">
        <v>7.22</v>
      </c>
      <c r="E19" s="369">
        <v>1.78</v>
      </c>
      <c r="F19" s="369">
        <v>87.07</v>
      </c>
      <c r="G19" s="370">
        <f>F31/25</f>
        <v>5.1063999999999998</v>
      </c>
      <c r="H19" s="370">
        <f t="shared" si="0"/>
        <v>9.3617333333333335</v>
      </c>
      <c r="I19" s="365"/>
      <c r="J19" s="368">
        <v>13</v>
      </c>
      <c r="K19" s="369">
        <v>69.05</v>
      </c>
      <c r="L19" s="369">
        <v>4.03</v>
      </c>
      <c r="M19" s="369">
        <v>5.26</v>
      </c>
      <c r="N19" s="369">
        <v>1.42</v>
      </c>
      <c r="O19" s="369">
        <v>79.760000000000005</v>
      </c>
      <c r="P19" s="370">
        <f>O31/25</f>
        <v>4.7427999999999999</v>
      </c>
      <c r="Q19" s="370">
        <f t="shared" si="1"/>
        <v>8.6951333333333327</v>
      </c>
    </row>
    <row r="20" spans="1:17" x14ac:dyDescent="0.3">
      <c r="A20" s="368">
        <v>14</v>
      </c>
      <c r="B20" s="369">
        <v>79.98</v>
      </c>
      <c r="C20" s="369">
        <v>2.98</v>
      </c>
      <c r="D20" s="369">
        <v>7.39</v>
      </c>
      <c r="E20" s="369">
        <v>2.0099999999999998</v>
      </c>
      <c r="F20" s="369">
        <v>92.36</v>
      </c>
      <c r="G20" s="370">
        <f>F31/25</f>
        <v>5.1063999999999998</v>
      </c>
      <c r="H20" s="370">
        <f t="shared" si="0"/>
        <v>9.3617333333333335</v>
      </c>
      <c r="I20" s="365"/>
      <c r="J20" s="368">
        <v>14</v>
      </c>
      <c r="K20" s="369">
        <v>73.86</v>
      </c>
      <c r="L20" s="369">
        <v>3.83</v>
      </c>
      <c r="M20" s="369">
        <v>5.41</v>
      </c>
      <c r="N20" s="369">
        <v>1.61</v>
      </c>
      <c r="O20" s="369">
        <v>84.71</v>
      </c>
      <c r="P20" s="370">
        <f>O31/25</f>
        <v>4.7427999999999999</v>
      </c>
      <c r="Q20" s="370">
        <f t="shared" si="1"/>
        <v>8.6951333333333327</v>
      </c>
    </row>
    <row r="21" spans="1:17" x14ac:dyDescent="0.3">
      <c r="A21" s="368">
        <v>15</v>
      </c>
      <c r="B21" s="369">
        <v>84.69</v>
      </c>
      <c r="C21" s="369">
        <v>2.91</v>
      </c>
      <c r="D21" s="369">
        <v>7.56</v>
      </c>
      <c r="E21" s="369">
        <v>2.2400000000000002</v>
      </c>
      <c r="F21" s="369">
        <v>97.4</v>
      </c>
      <c r="G21" s="370">
        <f>F31/25</f>
        <v>5.1063999999999998</v>
      </c>
      <c r="H21" s="370">
        <f t="shared" si="0"/>
        <v>9.3617333333333335</v>
      </c>
      <c r="I21" s="365"/>
      <c r="J21" s="368">
        <v>15</v>
      </c>
      <c r="K21" s="369">
        <v>78.430000000000007</v>
      </c>
      <c r="L21" s="369">
        <v>3.66</v>
      </c>
      <c r="M21" s="369">
        <v>5.56</v>
      </c>
      <c r="N21" s="369">
        <v>1.79</v>
      </c>
      <c r="O21" s="369">
        <v>89.44</v>
      </c>
      <c r="P21" s="370">
        <f>O31/25</f>
        <v>4.7427999999999999</v>
      </c>
      <c r="Q21" s="370">
        <f t="shared" si="1"/>
        <v>8.6951333333333327</v>
      </c>
    </row>
    <row r="22" spans="1:17" x14ac:dyDescent="0.3">
      <c r="A22" s="368">
        <v>16</v>
      </c>
      <c r="B22" s="369">
        <v>89.1</v>
      </c>
      <c r="C22" s="369">
        <v>2.85</v>
      </c>
      <c r="D22" s="369">
        <v>7.74</v>
      </c>
      <c r="E22" s="369">
        <v>2.4700000000000002</v>
      </c>
      <c r="F22" s="369">
        <v>102.16</v>
      </c>
      <c r="G22" s="370">
        <f>F31/25</f>
        <v>5.1063999999999998</v>
      </c>
      <c r="H22" s="370">
        <f t="shared" si="0"/>
        <v>9.3617333333333335</v>
      </c>
      <c r="I22" s="365"/>
      <c r="J22" s="368">
        <v>16</v>
      </c>
      <c r="K22" s="369">
        <v>82.71</v>
      </c>
      <c r="L22" s="369">
        <v>3.51</v>
      </c>
      <c r="M22" s="369">
        <v>5.71</v>
      </c>
      <c r="N22" s="369">
        <v>1.98</v>
      </c>
      <c r="O22" s="369">
        <v>93.91</v>
      </c>
      <c r="P22" s="370">
        <f>O31/25</f>
        <v>4.7427999999999999</v>
      </c>
      <c r="Q22" s="370">
        <f t="shared" si="1"/>
        <v>8.6951333333333327</v>
      </c>
    </row>
    <row r="23" spans="1:17" x14ac:dyDescent="0.3">
      <c r="A23" s="368">
        <v>17</v>
      </c>
      <c r="B23" s="369">
        <v>93.19</v>
      </c>
      <c r="C23" s="369">
        <v>2.8</v>
      </c>
      <c r="D23" s="369">
        <v>7.9</v>
      </c>
      <c r="E23" s="369">
        <v>2.7</v>
      </c>
      <c r="F23" s="369">
        <v>106.59</v>
      </c>
      <c r="G23" s="370">
        <f>F31/25</f>
        <v>5.1063999999999998</v>
      </c>
      <c r="H23" s="370">
        <f t="shared" si="0"/>
        <v>9.3617333333333335</v>
      </c>
      <c r="I23" s="365"/>
      <c r="J23" s="368">
        <v>17</v>
      </c>
      <c r="K23" s="369">
        <v>86.69</v>
      </c>
      <c r="L23" s="369">
        <v>3.39</v>
      </c>
      <c r="M23" s="369">
        <v>5.86</v>
      </c>
      <c r="N23" s="369">
        <v>2.17</v>
      </c>
      <c r="O23" s="369">
        <v>98.11</v>
      </c>
      <c r="P23" s="370">
        <f>O31/25</f>
        <v>4.7427999999999999</v>
      </c>
      <c r="Q23" s="370">
        <f t="shared" si="1"/>
        <v>8.6951333333333327</v>
      </c>
    </row>
    <row r="24" spans="1:17" x14ac:dyDescent="0.3">
      <c r="A24" s="368">
        <v>18</v>
      </c>
      <c r="B24" s="369">
        <v>96.9</v>
      </c>
      <c r="C24" s="369">
        <v>2.76</v>
      </c>
      <c r="D24" s="369">
        <v>8.06</v>
      </c>
      <c r="E24" s="369">
        <v>2.92</v>
      </c>
      <c r="F24" s="369">
        <v>110.64</v>
      </c>
      <c r="G24" s="370">
        <f>F31/25</f>
        <v>5.1063999999999998</v>
      </c>
      <c r="H24" s="370">
        <f t="shared" si="0"/>
        <v>9.3617333333333335</v>
      </c>
      <c r="I24" s="365"/>
      <c r="J24" s="368">
        <v>18</v>
      </c>
      <c r="K24" s="369">
        <v>90.33</v>
      </c>
      <c r="L24" s="369">
        <v>3.28</v>
      </c>
      <c r="M24" s="369">
        <v>6.01</v>
      </c>
      <c r="N24" s="369">
        <v>2.36</v>
      </c>
      <c r="O24" s="369">
        <v>101.98</v>
      </c>
      <c r="P24" s="370">
        <f>O31/25</f>
        <v>4.7427999999999999</v>
      </c>
      <c r="Q24" s="370">
        <f t="shared" si="1"/>
        <v>8.6951333333333327</v>
      </c>
    </row>
    <row r="25" spans="1:17" x14ac:dyDescent="0.3">
      <c r="A25" s="368">
        <v>19</v>
      </c>
      <c r="B25" s="369">
        <v>100.24</v>
      </c>
      <c r="C25" s="369">
        <v>2.73</v>
      </c>
      <c r="D25" s="369">
        <v>8.2100000000000009</v>
      </c>
      <c r="E25" s="369">
        <v>3.15</v>
      </c>
      <c r="F25" s="369">
        <v>114.33</v>
      </c>
      <c r="G25" s="370">
        <f>F31/25</f>
        <v>5.1063999999999998</v>
      </c>
      <c r="H25" s="370">
        <f t="shared" si="0"/>
        <v>9.3617333333333335</v>
      </c>
      <c r="I25" s="365"/>
      <c r="J25" s="368">
        <v>19</v>
      </c>
      <c r="K25" s="369">
        <v>93.62</v>
      </c>
      <c r="L25" s="369">
        <v>3.19</v>
      </c>
      <c r="M25" s="369">
        <v>6.15</v>
      </c>
      <c r="N25" s="369">
        <v>2.5499999999999998</v>
      </c>
      <c r="O25" s="369">
        <v>105.51</v>
      </c>
      <c r="P25" s="370">
        <f>O31/25</f>
        <v>4.7427999999999999</v>
      </c>
      <c r="Q25" s="370">
        <f t="shared" si="1"/>
        <v>8.6951333333333327</v>
      </c>
    </row>
    <row r="26" spans="1:17" x14ac:dyDescent="0.3">
      <c r="A26" s="368">
        <v>20</v>
      </c>
      <c r="B26" s="369">
        <v>103.21</v>
      </c>
      <c r="C26" s="369">
        <v>2.71</v>
      </c>
      <c r="D26" s="369">
        <v>8.33</v>
      </c>
      <c r="E26" s="369">
        <v>3.36</v>
      </c>
      <c r="F26" s="369">
        <v>117.61</v>
      </c>
      <c r="G26" s="370">
        <f>F31/25</f>
        <v>5.1063999999999998</v>
      </c>
      <c r="H26" s="370">
        <f t="shared" si="0"/>
        <v>9.3617333333333335</v>
      </c>
      <c r="I26" s="365"/>
      <c r="J26" s="368">
        <v>20</v>
      </c>
      <c r="K26" s="369">
        <v>96.54</v>
      </c>
      <c r="L26" s="369">
        <v>3.12</v>
      </c>
      <c r="M26" s="369">
        <v>6.27</v>
      </c>
      <c r="N26" s="369">
        <v>2.73</v>
      </c>
      <c r="O26" s="369">
        <v>108.66</v>
      </c>
      <c r="P26" s="370">
        <f>O31/25</f>
        <v>4.7427999999999999</v>
      </c>
      <c r="Q26" s="370">
        <f t="shared" si="1"/>
        <v>8.6951333333333327</v>
      </c>
    </row>
    <row r="27" spans="1:17" x14ac:dyDescent="0.3">
      <c r="A27" s="368">
        <v>21</v>
      </c>
      <c r="B27" s="369">
        <v>105.77</v>
      </c>
      <c r="C27" s="369">
        <v>2.69</v>
      </c>
      <c r="D27" s="369">
        <v>8.44</v>
      </c>
      <c r="E27" s="369">
        <v>3.57</v>
      </c>
      <c r="F27" s="369">
        <v>120.47</v>
      </c>
      <c r="G27" s="370">
        <f>F31/25</f>
        <v>5.1063999999999998</v>
      </c>
      <c r="H27" s="370">
        <f t="shared" si="0"/>
        <v>9.3617333333333335</v>
      </c>
      <c r="I27" s="365"/>
      <c r="J27" s="368">
        <v>21</v>
      </c>
      <c r="K27" s="369">
        <v>99.09</v>
      </c>
      <c r="L27" s="369">
        <v>3.06</v>
      </c>
      <c r="M27" s="369">
        <v>6.39</v>
      </c>
      <c r="N27" s="369">
        <v>2.91</v>
      </c>
      <c r="O27" s="369">
        <v>111.45</v>
      </c>
      <c r="P27" s="370">
        <f>O31/25</f>
        <v>4.7427999999999999</v>
      </c>
      <c r="Q27" s="370">
        <f t="shared" si="1"/>
        <v>8.6951333333333327</v>
      </c>
    </row>
    <row r="28" spans="1:17" x14ac:dyDescent="0.3">
      <c r="A28" s="368">
        <v>22</v>
      </c>
      <c r="B28" s="369">
        <v>107.89</v>
      </c>
      <c r="C28" s="369">
        <v>2.68</v>
      </c>
      <c r="D28" s="369">
        <v>8.5399999999999991</v>
      </c>
      <c r="E28" s="369">
        <v>3.77</v>
      </c>
      <c r="F28" s="369">
        <v>122.88</v>
      </c>
      <c r="G28" s="370">
        <f>F31/25</f>
        <v>5.1063999999999998</v>
      </c>
      <c r="H28" s="370">
        <f t="shared" si="0"/>
        <v>9.3617333333333335</v>
      </c>
      <c r="I28" s="365"/>
      <c r="J28" s="368">
        <v>22</v>
      </c>
      <c r="K28" s="369">
        <v>101.24</v>
      </c>
      <c r="L28" s="369">
        <v>3</v>
      </c>
      <c r="M28" s="369">
        <v>6.49</v>
      </c>
      <c r="N28" s="369">
        <v>3.08</v>
      </c>
      <c r="O28" s="369">
        <v>113.81</v>
      </c>
      <c r="P28" s="370">
        <f>O31/25</f>
        <v>4.7427999999999999</v>
      </c>
      <c r="Q28" s="370">
        <f t="shared" si="1"/>
        <v>8.6951333333333327</v>
      </c>
    </row>
    <row r="29" spans="1:17" x14ac:dyDescent="0.3">
      <c r="A29" s="368">
        <v>23</v>
      </c>
      <c r="B29" s="369">
        <v>109.65</v>
      </c>
      <c r="C29" s="369">
        <v>2.67</v>
      </c>
      <c r="D29" s="369">
        <v>8.61</v>
      </c>
      <c r="E29" s="369">
        <v>3.96</v>
      </c>
      <c r="F29" s="369">
        <v>124.89</v>
      </c>
      <c r="G29" s="370">
        <f>F31/25</f>
        <v>5.1063999999999998</v>
      </c>
      <c r="H29" s="370">
        <f t="shared" si="0"/>
        <v>9.3617333333333335</v>
      </c>
      <c r="I29" s="365"/>
      <c r="J29" s="368">
        <v>23</v>
      </c>
      <c r="K29" s="369">
        <v>103.01</v>
      </c>
      <c r="L29" s="369">
        <v>2.96</v>
      </c>
      <c r="M29" s="369">
        <v>6.58</v>
      </c>
      <c r="N29" s="369">
        <v>3.25</v>
      </c>
      <c r="O29" s="369">
        <v>115.8</v>
      </c>
      <c r="P29" s="370">
        <f>O31/25</f>
        <v>4.7427999999999999</v>
      </c>
      <c r="Q29" s="370">
        <f t="shared" si="1"/>
        <v>8.6951333333333327</v>
      </c>
    </row>
    <row r="30" spans="1:17" x14ac:dyDescent="0.3">
      <c r="A30" s="368">
        <v>24</v>
      </c>
      <c r="B30" s="369">
        <v>111.01</v>
      </c>
      <c r="C30" s="369">
        <v>2.67</v>
      </c>
      <c r="D30" s="369">
        <v>8.67</v>
      </c>
      <c r="E30" s="369">
        <v>4.1399999999999997</v>
      </c>
      <c r="F30" s="369">
        <v>126.49</v>
      </c>
      <c r="G30" s="370">
        <f>F31/25</f>
        <v>5.1063999999999998</v>
      </c>
      <c r="H30" s="370">
        <f t="shared" si="0"/>
        <v>9.3617333333333335</v>
      </c>
      <c r="I30" s="365"/>
      <c r="J30" s="368">
        <v>24</v>
      </c>
      <c r="K30" s="369">
        <v>104.39</v>
      </c>
      <c r="L30" s="369">
        <v>2.92</v>
      </c>
      <c r="M30" s="369">
        <v>6.65</v>
      </c>
      <c r="N30" s="369">
        <v>3.41</v>
      </c>
      <c r="O30" s="369">
        <v>117.37</v>
      </c>
      <c r="P30" s="370">
        <f>O31/25</f>
        <v>4.7427999999999999</v>
      </c>
      <c r="Q30" s="370">
        <f t="shared" si="1"/>
        <v>8.6951333333333327</v>
      </c>
    </row>
    <row r="31" spans="1:17" x14ac:dyDescent="0.3">
      <c r="A31" s="368">
        <v>25</v>
      </c>
      <c r="B31" s="369">
        <v>111.97</v>
      </c>
      <c r="C31" s="369">
        <v>2.66</v>
      </c>
      <c r="D31" s="369">
        <v>8.7200000000000006</v>
      </c>
      <c r="E31" s="369">
        <v>4.3099999999999996</v>
      </c>
      <c r="F31" s="369">
        <v>127.66</v>
      </c>
      <c r="G31" s="370">
        <f>F31/25</f>
        <v>5.1063999999999998</v>
      </c>
      <c r="H31" s="370">
        <f t="shared" si="0"/>
        <v>9.3617333333333335</v>
      </c>
      <c r="I31" s="365"/>
      <c r="J31" s="368">
        <v>25</v>
      </c>
      <c r="K31" s="369">
        <v>105.4</v>
      </c>
      <c r="L31" s="369">
        <v>2.89</v>
      </c>
      <c r="M31" s="369">
        <v>6.72</v>
      </c>
      <c r="N31" s="369">
        <v>3.56</v>
      </c>
      <c r="O31" s="369">
        <v>118.57</v>
      </c>
      <c r="P31" s="370">
        <f>O31/25</f>
        <v>4.7427999999999999</v>
      </c>
      <c r="Q31" s="370">
        <f t="shared" si="1"/>
        <v>8.6951333333333327</v>
      </c>
    </row>
    <row r="34" spans="1:1" x14ac:dyDescent="0.3">
      <c r="A34" s="412" t="s">
        <v>467</v>
      </c>
    </row>
  </sheetData>
  <mergeCells count="1">
    <mergeCell ref="A2:Q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K85"/>
  <sheetViews>
    <sheetView zoomScale="85" zoomScaleNormal="85" workbookViewId="0">
      <selection activeCell="B85" sqref="B85"/>
    </sheetView>
  </sheetViews>
  <sheetFormatPr defaultColWidth="9.109375" defaultRowHeight="14.4" x14ac:dyDescent="0.3"/>
  <cols>
    <col min="1" max="1" width="59.88671875" style="62" customWidth="1"/>
    <col min="2" max="2" width="13.6640625" style="62" bestFit="1" customWidth="1"/>
    <col min="3" max="3" width="4.88671875" style="62" customWidth="1"/>
    <col min="4" max="4" width="28.88671875" style="62" customWidth="1"/>
    <col min="5" max="5" width="12.5546875" style="62" bestFit="1" customWidth="1"/>
    <col min="6" max="6" width="4.88671875" style="62" customWidth="1"/>
    <col min="7" max="7" width="27.88671875" style="62" bestFit="1" customWidth="1"/>
    <col min="8" max="8" width="10.109375" style="62" customWidth="1"/>
    <col min="9" max="9" width="3.88671875" style="62" customWidth="1"/>
    <col min="10" max="10" width="27.88671875" style="62" bestFit="1" customWidth="1"/>
    <col min="11" max="11" width="12.109375" style="62" customWidth="1"/>
    <col min="12" max="16384" width="9.109375" style="62"/>
  </cols>
  <sheetData>
    <row r="1" spans="1:7" x14ac:dyDescent="0.3">
      <c r="A1" s="70"/>
    </row>
    <row r="2" spans="1:7" ht="54.75" customHeight="1" x14ac:dyDescent="0.3">
      <c r="A2" s="423" t="s">
        <v>377</v>
      </c>
      <c r="B2" s="424"/>
      <c r="C2" s="425"/>
      <c r="D2" s="425"/>
      <c r="E2" s="425"/>
      <c r="F2" s="425"/>
      <c r="G2" s="426"/>
    </row>
    <row r="3" spans="1:7" x14ac:dyDescent="0.3">
      <c r="A3" s="71"/>
    </row>
    <row r="4" spans="1:7" x14ac:dyDescent="0.3">
      <c r="A4" s="70" t="s">
        <v>311</v>
      </c>
      <c r="B4" s="67"/>
    </row>
    <row r="5" spans="1:7" x14ac:dyDescent="0.3">
      <c r="A5" s="70" t="s">
        <v>305</v>
      </c>
      <c r="B5" s="67"/>
    </row>
    <row r="6" spans="1:7" x14ac:dyDescent="0.3">
      <c r="A6" s="76" t="s">
        <v>300</v>
      </c>
      <c r="B6" s="68">
        <f>'2. FFB Production'!B8</f>
        <v>0</v>
      </c>
    </row>
    <row r="7" spans="1:7" x14ac:dyDescent="0.3">
      <c r="A7" s="62" t="s">
        <v>301</v>
      </c>
      <c r="B7" s="400"/>
    </row>
    <row r="8" spans="1:7" x14ac:dyDescent="0.3">
      <c r="A8" s="62" t="s">
        <v>302</v>
      </c>
      <c r="B8" s="400"/>
    </row>
    <row r="9" spans="1:7" x14ac:dyDescent="0.3">
      <c r="A9" s="62" t="s">
        <v>303</v>
      </c>
      <c r="B9" s="68">
        <f>B6*B7/100</f>
        <v>0</v>
      </c>
    </row>
    <row r="10" spans="1:7" x14ac:dyDescent="0.3">
      <c r="A10" s="62" t="s">
        <v>304</v>
      </c>
      <c r="B10" s="68">
        <f>B6*B8/100</f>
        <v>0</v>
      </c>
    </row>
    <row r="11" spans="1:7" x14ac:dyDescent="0.3">
      <c r="A11" s="70"/>
      <c r="B11" s="67"/>
    </row>
    <row r="12" spans="1:7" x14ac:dyDescent="0.3">
      <c r="A12" s="70" t="s">
        <v>306</v>
      </c>
      <c r="B12" s="67"/>
    </row>
    <row r="13" spans="1:7" x14ac:dyDescent="0.3">
      <c r="A13" s="198" t="s">
        <v>313</v>
      </c>
    </row>
    <row r="14" spans="1:7" ht="15.6" x14ac:dyDescent="0.35">
      <c r="A14" s="74" t="s">
        <v>151</v>
      </c>
      <c r="B14" s="75">
        <f>'Default data'!B7</f>
        <v>3.12</v>
      </c>
      <c r="D14" s="74" t="s">
        <v>289</v>
      </c>
      <c r="E14" s="400"/>
    </row>
    <row r="15" spans="1:7" ht="15.6" x14ac:dyDescent="0.35">
      <c r="A15" s="74" t="s">
        <v>204</v>
      </c>
      <c r="B15" s="63">
        <f>'Default data'!B8</f>
        <v>2.75</v>
      </c>
      <c r="D15" s="199" t="s">
        <v>290</v>
      </c>
      <c r="E15" s="400"/>
    </row>
    <row r="16" spans="1:7" ht="15.75" customHeight="1" x14ac:dyDescent="0.3">
      <c r="A16" s="70"/>
      <c r="B16" s="67"/>
    </row>
    <row r="17" spans="1:11" x14ac:dyDescent="0.3">
      <c r="A17" s="197" t="s">
        <v>295</v>
      </c>
      <c r="B17" s="63"/>
    </row>
    <row r="18" spans="1:11" x14ac:dyDescent="0.3">
      <c r="A18" s="196" t="s">
        <v>206</v>
      </c>
      <c r="B18" s="63"/>
      <c r="D18" s="70" t="s">
        <v>207</v>
      </c>
      <c r="G18" s="70" t="s">
        <v>291</v>
      </c>
      <c r="J18" s="70" t="s">
        <v>294</v>
      </c>
    </row>
    <row r="19" spans="1:11" ht="18" customHeight="1" x14ac:dyDescent="0.3">
      <c r="A19" s="74" t="s">
        <v>429</v>
      </c>
      <c r="B19" s="403"/>
      <c r="D19" s="74" t="s">
        <v>429</v>
      </c>
      <c r="E19" s="403"/>
      <c r="G19" s="74" t="s">
        <v>429</v>
      </c>
      <c r="H19" s="404"/>
      <c r="J19" s="74" t="s">
        <v>429</v>
      </c>
      <c r="K19" s="270">
        <v>0</v>
      </c>
    </row>
    <row r="20" spans="1:11" x14ac:dyDescent="0.3">
      <c r="A20" s="62" t="s">
        <v>293</v>
      </c>
      <c r="B20" s="68">
        <f>B19*B6</f>
        <v>0</v>
      </c>
      <c r="D20" s="62" t="s">
        <v>293</v>
      </c>
      <c r="E20" s="68">
        <f>E19*B6</f>
        <v>0</v>
      </c>
      <c r="G20" s="62" t="s">
        <v>293</v>
      </c>
      <c r="H20" s="144">
        <f>H19*B6</f>
        <v>0</v>
      </c>
      <c r="J20" s="62" t="s">
        <v>293</v>
      </c>
      <c r="K20" s="144">
        <f>K19*B6</f>
        <v>0</v>
      </c>
    </row>
    <row r="21" spans="1:11" x14ac:dyDescent="0.3">
      <c r="B21" s="67"/>
      <c r="E21" s="67"/>
    </row>
    <row r="22" spans="1:11" x14ac:dyDescent="0.3">
      <c r="A22" s="113" t="s">
        <v>312</v>
      </c>
      <c r="B22" s="97"/>
    </row>
    <row r="23" spans="1:11" ht="15.6" x14ac:dyDescent="0.35">
      <c r="A23" s="89" t="s">
        <v>163</v>
      </c>
      <c r="B23" s="134">
        <f>(B20*B14+E20*B15+H20*E14+K20*E15)/1000</f>
        <v>0</v>
      </c>
    </row>
    <row r="24" spans="1:11" x14ac:dyDescent="0.3">
      <c r="A24" s="70"/>
      <c r="B24" s="67"/>
    </row>
    <row r="25" spans="1:11" x14ac:dyDescent="0.3">
      <c r="A25" s="179" t="s">
        <v>307</v>
      </c>
      <c r="B25" s="82"/>
      <c r="C25" s="76"/>
    </row>
    <row r="26" spans="1:11" x14ac:dyDescent="0.3">
      <c r="A26" s="113" t="s">
        <v>314</v>
      </c>
      <c r="C26" s="76"/>
    </row>
    <row r="27" spans="1:11" x14ac:dyDescent="0.3">
      <c r="A27" s="76" t="s">
        <v>23</v>
      </c>
      <c r="B27" s="108">
        <f>'Default data'!B19</f>
        <v>0.67249999999999999</v>
      </c>
      <c r="C27" s="76"/>
    </row>
    <row r="28" spans="1:11" x14ac:dyDescent="0.3">
      <c r="A28" s="76" t="s">
        <v>24</v>
      </c>
      <c r="B28" s="108">
        <f>'Default data'!B20</f>
        <v>13.1</v>
      </c>
      <c r="C28" s="76"/>
    </row>
    <row r="29" spans="1:11" ht="15.6" x14ac:dyDescent="0.35">
      <c r="A29" s="76" t="s">
        <v>80</v>
      </c>
      <c r="B29" s="108">
        <f>'Default data'!B21</f>
        <v>22.25</v>
      </c>
      <c r="C29" s="76"/>
    </row>
    <row r="30" spans="1:11" x14ac:dyDescent="0.3">
      <c r="A30" s="76" t="s">
        <v>25</v>
      </c>
      <c r="B30" s="108">
        <f>'Default data'!B22</f>
        <v>0.22</v>
      </c>
      <c r="C30" s="76"/>
    </row>
    <row r="31" spans="1:11" s="76" customFormat="1" x14ac:dyDescent="0.3">
      <c r="A31" s="179"/>
      <c r="B31" s="82"/>
      <c r="C31" s="62"/>
      <c r="D31" s="62"/>
      <c r="E31" s="62"/>
    </row>
    <row r="32" spans="1:11" s="88" customFormat="1" x14ac:dyDescent="0.3">
      <c r="A32" s="179" t="s">
        <v>315</v>
      </c>
      <c r="B32" s="82"/>
      <c r="C32" s="62"/>
      <c r="D32" s="62"/>
      <c r="E32" s="62"/>
    </row>
    <row r="33" spans="1:11" x14ac:dyDescent="0.3">
      <c r="A33" s="131" t="s">
        <v>216</v>
      </c>
      <c r="B33" s="200">
        <f>B6*B27</f>
        <v>0</v>
      </c>
    </row>
    <row r="34" spans="1:11" ht="15.6" x14ac:dyDescent="0.35">
      <c r="A34" s="76" t="s">
        <v>81</v>
      </c>
      <c r="B34" s="68">
        <f>B33*B28/1000</f>
        <v>0</v>
      </c>
    </row>
    <row r="35" spans="1:11" x14ac:dyDescent="0.3">
      <c r="A35" s="76"/>
    </row>
    <row r="36" spans="1:11" x14ac:dyDescent="0.3">
      <c r="A36" s="113" t="s">
        <v>308</v>
      </c>
      <c r="B36" s="82"/>
    </row>
    <row r="37" spans="1:11" x14ac:dyDescent="0.3">
      <c r="A37" s="132" t="s">
        <v>318</v>
      </c>
      <c r="B37" s="41">
        <v>0</v>
      </c>
    </row>
    <row r="38" spans="1:11" x14ac:dyDescent="0.3">
      <c r="A38" s="132" t="s">
        <v>316</v>
      </c>
      <c r="B38" s="41">
        <v>0</v>
      </c>
    </row>
    <row r="39" spans="1:11" x14ac:dyDescent="0.3">
      <c r="A39" s="132" t="s">
        <v>317</v>
      </c>
      <c r="B39" s="41">
        <v>0</v>
      </c>
      <c r="G39" s="459" t="s">
        <v>401</v>
      </c>
      <c r="H39" s="459"/>
      <c r="I39" s="459"/>
      <c r="J39" s="459"/>
      <c r="K39" s="459"/>
    </row>
    <row r="40" spans="1:11" ht="15" thickBot="1" x14ac:dyDescent="0.35">
      <c r="A40" s="132"/>
      <c r="B40" s="90" t="str">
        <f>IF(SUM(B37:B39)=100,"","WARNING!")</f>
        <v>WARNING!</v>
      </c>
      <c r="G40" s="460"/>
      <c r="H40" s="460"/>
      <c r="I40" s="460"/>
      <c r="J40" s="460"/>
      <c r="K40" s="460"/>
    </row>
    <row r="41" spans="1:11" ht="18" customHeight="1" x14ac:dyDescent="0.3">
      <c r="A41" s="133" t="s">
        <v>62</v>
      </c>
      <c r="B41" s="88"/>
      <c r="G41" s="328" t="s">
        <v>380</v>
      </c>
      <c r="H41" s="329"/>
      <c r="I41" s="330"/>
      <c r="J41" s="331" t="s">
        <v>400</v>
      </c>
      <c r="K41" s="214"/>
    </row>
    <row r="42" spans="1:11" ht="18" customHeight="1" x14ac:dyDescent="0.35">
      <c r="A42" s="116" t="s">
        <v>82</v>
      </c>
      <c r="B42" s="135">
        <f>'Default data'!$B23</f>
        <v>7.8</v>
      </c>
      <c r="G42" s="332" t="s">
        <v>381</v>
      </c>
      <c r="H42" s="272"/>
      <c r="I42" s="276"/>
      <c r="J42" s="333">
        <v>0.42627999999999999</v>
      </c>
      <c r="K42" s="275"/>
    </row>
    <row r="43" spans="1:11" ht="18" customHeight="1" x14ac:dyDescent="0.35">
      <c r="A43" s="116" t="s">
        <v>83</v>
      </c>
      <c r="B43" s="118">
        <f>'Default data'!$B24</f>
        <v>15</v>
      </c>
      <c r="G43" s="332" t="s">
        <v>382</v>
      </c>
      <c r="H43" s="272"/>
      <c r="I43" s="276"/>
      <c r="J43" s="333">
        <v>9.8169999999999993E-2</v>
      </c>
      <c r="K43" s="275"/>
    </row>
    <row r="44" spans="1:11" ht="18" customHeight="1" x14ac:dyDescent="0.35">
      <c r="A44" s="116" t="s">
        <v>84</v>
      </c>
      <c r="B44" s="118">
        <f>'Default data'!$B25</f>
        <v>12</v>
      </c>
      <c r="G44" s="332" t="s">
        <v>383</v>
      </c>
      <c r="H44" s="272"/>
      <c r="I44" s="276"/>
      <c r="J44" s="333">
        <v>0.52895999999999999</v>
      </c>
      <c r="K44" s="275"/>
    </row>
    <row r="45" spans="1:11" ht="18" customHeight="1" x14ac:dyDescent="0.35">
      <c r="A45" s="116" t="s">
        <v>85</v>
      </c>
      <c r="B45" s="94">
        <f>(100-B42)-(100-B42)*B43/100</f>
        <v>78.37</v>
      </c>
      <c r="G45" s="332" t="s">
        <v>384</v>
      </c>
      <c r="H45" s="272"/>
      <c r="I45" s="276"/>
      <c r="J45" s="333">
        <v>0.20859</v>
      </c>
      <c r="K45" s="275"/>
    </row>
    <row r="46" spans="1:11" ht="18" customHeight="1" x14ac:dyDescent="0.35">
      <c r="A46" s="116" t="s">
        <v>86</v>
      </c>
      <c r="B46" s="135">
        <f>'Default data'!$B26</f>
        <v>1.2</v>
      </c>
      <c r="G46" s="332" t="s">
        <v>385</v>
      </c>
      <c r="H46" s="272"/>
      <c r="I46" s="276"/>
      <c r="J46" s="333">
        <v>0.12277</v>
      </c>
      <c r="K46" s="275"/>
    </row>
    <row r="47" spans="1:11" ht="18" customHeight="1" x14ac:dyDescent="0.3">
      <c r="A47" s="116" t="s">
        <v>66</v>
      </c>
      <c r="B47" s="94">
        <f>B42+((100-B42)*B43/100*B44/100)+(B45*B46/100)</f>
        <v>10.400040000000001</v>
      </c>
      <c r="G47" s="332" t="s">
        <v>386</v>
      </c>
      <c r="H47" s="272"/>
      <c r="I47" s="276"/>
      <c r="J47" s="333">
        <v>0.22996</v>
      </c>
      <c r="K47" s="275"/>
    </row>
    <row r="48" spans="1:11" ht="18" customHeight="1" x14ac:dyDescent="0.3">
      <c r="A48" s="116" t="s">
        <v>60</v>
      </c>
      <c r="B48" s="118">
        <f>'Default data'!$B27</f>
        <v>40</v>
      </c>
      <c r="G48" s="332" t="s">
        <v>387</v>
      </c>
      <c r="H48" s="272"/>
      <c r="I48" s="276"/>
      <c r="J48" s="333">
        <v>5.4359999999999999E-2</v>
      </c>
      <c r="K48" s="275"/>
    </row>
    <row r="49" spans="1:11" ht="18" customHeight="1" x14ac:dyDescent="0.35">
      <c r="A49" s="116" t="s">
        <v>87</v>
      </c>
      <c r="B49" s="94">
        <f>B45*B48/100</f>
        <v>31.348000000000003</v>
      </c>
      <c r="G49" s="332" t="s">
        <v>388</v>
      </c>
      <c r="H49" s="272"/>
      <c r="I49" s="276"/>
      <c r="J49" s="333">
        <v>0.49037999999999998</v>
      </c>
      <c r="K49" s="275"/>
    </row>
    <row r="50" spans="1:11" ht="18" customHeight="1" x14ac:dyDescent="0.35">
      <c r="A50" s="116" t="s">
        <v>88</v>
      </c>
      <c r="B50" s="135">
        <f>'Default data'!$B28</f>
        <v>45.1</v>
      </c>
      <c r="G50" s="332" t="s">
        <v>389</v>
      </c>
      <c r="H50" s="272"/>
      <c r="I50" s="276"/>
      <c r="J50" s="333">
        <v>0.31302000000000002</v>
      </c>
      <c r="K50" s="275"/>
    </row>
    <row r="51" spans="1:11" ht="18" customHeight="1" x14ac:dyDescent="0.35">
      <c r="A51" s="101" t="s">
        <v>89</v>
      </c>
      <c r="B51" s="136">
        <f>'Default data'!$B30</f>
        <v>0.17699999999999999</v>
      </c>
      <c r="G51" s="332" t="s">
        <v>390</v>
      </c>
      <c r="H51" s="272"/>
      <c r="I51" s="276"/>
      <c r="J51" s="333">
        <v>0.43613000000000002</v>
      </c>
      <c r="K51" s="275"/>
    </row>
    <row r="52" spans="1:11" ht="18" customHeight="1" x14ac:dyDescent="0.3">
      <c r="A52" s="133" t="s">
        <v>61</v>
      </c>
      <c r="G52" s="332" t="s">
        <v>391</v>
      </c>
      <c r="H52" s="272"/>
      <c r="I52" s="276"/>
      <c r="J52" s="333">
        <v>0.24944</v>
      </c>
      <c r="K52" s="275"/>
    </row>
    <row r="53" spans="1:11" ht="18" customHeight="1" x14ac:dyDescent="0.35">
      <c r="A53" s="116" t="s">
        <v>82</v>
      </c>
      <c r="B53" s="135">
        <f>'Default data'!$B23</f>
        <v>7.8</v>
      </c>
      <c r="C53" s="85"/>
      <c r="G53" s="332" t="s">
        <v>392</v>
      </c>
      <c r="H53" s="272"/>
      <c r="I53" s="276"/>
      <c r="J53" s="333">
        <v>0.25423000000000001</v>
      </c>
      <c r="K53" s="275"/>
    </row>
    <row r="54" spans="1:11" ht="18" customHeight="1" x14ac:dyDescent="0.35">
      <c r="A54" s="116" t="s">
        <v>84</v>
      </c>
      <c r="B54" s="118">
        <f>'Default data'!$B25</f>
        <v>12</v>
      </c>
      <c r="C54" s="85"/>
      <c r="G54" s="332" t="s">
        <v>393</v>
      </c>
      <c r="H54" s="272"/>
      <c r="I54" s="276"/>
      <c r="J54" s="333">
        <v>0.36347000000000002</v>
      </c>
      <c r="K54" s="275"/>
    </row>
    <row r="55" spans="1:11" ht="18" customHeight="1" x14ac:dyDescent="0.35">
      <c r="A55" s="101" t="s">
        <v>90</v>
      </c>
      <c r="B55" s="94">
        <f>B53+(100-B53)*B54/100</f>
        <v>18.864000000000001</v>
      </c>
      <c r="C55" s="85"/>
      <c r="F55" s="190"/>
      <c r="G55" s="332" t="s">
        <v>394</v>
      </c>
      <c r="H55" s="272"/>
      <c r="I55" s="276"/>
      <c r="J55" s="333">
        <v>0.92610000000000003</v>
      </c>
      <c r="K55" s="275"/>
    </row>
    <row r="56" spans="1:11" x14ac:dyDescent="0.3">
      <c r="A56" s="101"/>
      <c r="B56" s="76"/>
      <c r="C56" s="85"/>
      <c r="G56" s="332" t="s">
        <v>395</v>
      </c>
      <c r="H56" s="272"/>
      <c r="I56" s="276"/>
      <c r="J56" s="333">
        <v>0.80918999999999996</v>
      </c>
      <c r="K56" s="275"/>
    </row>
    <row r="57" spans="1:11" x14ac:dyDescent="0.3">
      <c r="A57" s="130" t="s">
        <v>159</v>
      </c>
      <c r="B57" s="108"/>
      <c r="C57" s="85"/>
      <c r="G57" s="332" t="s">
        <v>396</v>
      </c>
      <c r="H57" s="272"/>
      <c r="I57" s="276"/>
      <c r="J57" s="333">
        <v>0.67135999999999996</v>
      </c>
      <c r="K57" s="275"/>
    </row>
    <row r="58" spans="1:11" x14ac:dyDescent="0.3">
      <c r="A58" s="116" t="s">
        <v>319</v>
      </c>
      <c r="B58" s="93">
        <f>B34*B37/100*B29</f>
        <v>0</v>
      </c>
      <c r="C58" s="85"/>
      <c r="D58" s="85"/>
      <c r="E58" s="85"/>
      <c r="G58" s="332" t="s">
        <v>397</v>
      </c>
      <c r="H58" s="272"/>
      <c r="I58" s="276"/>
      <c r="J58" s="333">
        <v>0.40322000000000002</v>
      </c>
      <c r="K58" s="275"/>
    </row>
    <row r="59" spans="1:11" x14ac:dyDescent="0.3">
      <c r="A59" s="116" t="s">
        <v>320</v>
      </c>
      <c r="B59" s="93">
        <f>B34*B38/100*B55/100*B29</f>
        <v>0</v>
      </c>
      <c r="G59" s="332" t="s">
        <v>398</v>
      </c>
      <c r="H59" s="272"/>
      <c r="I59" s="276"/>
      <c r="J59" s="333">
        <v>0.28555999999999998</v>
      </c>
      <c r="K59" s="275"/>
    </row>
    <row r="60" spans="1:11" ht="15" thickBot="1" x14ac:dyDescent="0.35">
      <c r="A60" s="116" t="s">
        <v>321</v>
      </c>
      <c r="B60" s="93">
        <f>B34*B39/100*B47/100*B29</f>
        <v>0</v>
      </c>
      <c r="G60" s="334" t="s">
        <v>399</v>
      </c>
      <c r="H60" s="335"/>
      <c r="I60" s="336"/>
      <c r="J60" s="337">
        <v>0.50041999999999998</v>
      </c>
      <c r="K60" s="275"/>
    </row>
    <row r="61" spans="1:11" ht="15.6" x14ac:dyDescent="0.35">
      <c r="A61" s="116" t="s">
        <v>160</v>
      </c>
      <c r="B61" s="93">
        <f>SUM(B58:B60)</f>
        <v>0</v>
      </c>
    </row>
    <row r="62" spans="1:11" x14ac:dyDescent="0.3">
      <c r="A62" s="116"/>
      <c r="B62" s="107"/>
    </row>
    <row r="63" spans="1:11" x14ac:dyDescent="0.3">
      <c r="A63" s="100" t="s">
        <v>322</v>
      </c>
      <c r="B63" s="68"/>
    </row>
    <row r="64" spans="1:11" ht="15.6" x14ac:dyDescent="0.35">
      <c r="A64" s="116" t="s">
        <v>402</v>
      </c>
      <c r="B64" s="405"/>
      <c r="D64" s="70" t="s">
        <v>430</v>
      </c>
    </row>
    <row r="65" spans="1:7" x14ac:dyDescent="0.3">
      <c r="A65" s="116" t="s">
        <v>341</v>
      </c>
      <c r="B65" s="406">
        <v>0</v>
      </c>
    </row>
    <row r="66" spans="1:7" x14ac:dyDescent="0.3">
      <c r="A66" s="116" t="s">
        <v>340</v>
      </c>
      <c r="B66" s="406">
        <v>0</v>
      </c>
    </row>
    <row r="67" spans="1:7" ht="15.6" x14ac:dyDescent="0.35">
      <c r="A67" s="116" t="s">
        <v>342</v>
      </c>
      <c r="B67" s="93">
        <f>B65*B64*1/1000</f>
        <v>0</v>
      </c>
      <c r="D67" s="271"/>
    </row>
    <row r="68" spans="1:7" ht="15.6" x14ac:dyDescent="0.35">
      <c r="A68" s="116" t="s">
        <v>343</v>
      </c>
      <c r="B68" s="93">
        <f>B66*B64*1/1000</f>
        <v>0</v>
      </c>
    </row>
    <row r="70" spans="1:7" x14ac:dyDescent="0.3">
      <c r="A70" s="70" t="s">
        <v>309</v>
      </c>
    </row>
    <row r="71" spans="1:7" x14ac:dyDescent="0.3">
      <c r="A71" s="62" t="s">
        <v>323</v>
      </c>
      <c r="B71" s="68">
        <f>B6*B8/100</f>
        <v>0</v>
      </c>
    </row>
    <row r="72" spans="1:7" x14ac:dyDescent="0.3">
      <c r="A72" s="62" t="s">
        <v>325</v>
      </c>
      <c r="B72" s="400"/>
    </row>
    <row r="73" spans="1:7" x14ac:dyDescent="0.3">
      <c r="A73" s="131" t="s">
        <v>326</v>
      </c>
      <c r="B73" s="105">
        <f>B72*'Default data'!B29/1000</f>
        <v>0</v>
      </c>
      <c r="G73" s="119"/>
    </row>
    <row r="74" spans="1:7" x14ac:dyDescent="0.3">
      <c r="A74" s="62" t="s">
        <v>324</v>
      </c>
      <c r="B74" s="68">
        <f>B30*B6</f>
        <v>0</v>
      </c>
    </row>
    <row r="75" spans="1:7" x14ac:dyDescent="0.3">
      <c r="A75" s="119" t="s">
        <v>415</v>
      </c>
      <c r="B75" s="400"/>
      <c r="D75" s="119"/>
    </row>
    <row r="76" spans="1:7" x14ac:dyDescent="0.3">
      <c r="A76" s="119" t="s">
        <v>195</v>
      </c>
      <c r="B76" s="400"/>
      <c r="G76" s="119"/>
    </row>
    <row r="77" spans="1:7" x14ac:dyDescent="0.3">
      <c r="A77" s="119" t="s">
        <v>413</v>
      </c>
      <c r="B77" s="400"/>
      <c r="G77" s="119"/>
    </row>
    <row r="78" spans="1:7" x14ac:dyDescent="0.3">
      <c r="A78" s="119" t="s">
        <v>414</v>
      </c>
      <c r="B78" s="400"/>
    </row>
    <row r="79" spans="1:7" x14ac:dyDescent="0.3">
      <c r="A79" s="119"/>
      <c r="B79" s="62" t="str">
        <f>IF(SUM(B75:B78)=100,"","WARNING!")</f>
        <v>WARNING!</v>
      </c>
    </row>
    <row r="80" spans="1:7" x14ac:dyDescent="0.3">
      <c r="A80" s="180" t="s">
        <v>188</v>
      </c>
      <c r="B80" s="144">
        <f>'Default data'!B31*1000*'Default data'!B32/100*'Default data'!B33/100</f>
        <v>1576.75</v>
      </c>
    </row>
    <row r="81" spans="1:2" x14ac:dyDescent="0.3">
      <c r="A81" s="131" t="s">
        <v>327</v>
      </c>
      <c r="B81" s="68">
        <f>(B75/100*B74)*B80*B64/3.6/1000</f>
        <v>0</v>
      </c>
    </row>
    <row r="85" spans="1:2" x14ac:dyDescent="0.3">
      <c r="A85" s="412" t="s">
        <v>467</v>
      </c>
    </row>
  </sheetData>
  <sheetProtection insertRows="0"/>
  <mergeCells count="2">
    <mergeCell ref="A2:G2"/>
    <mergeCell ref="G39:K40"/>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theme="0" tint="-0.249977111117893"/>
  </sheetPr>
  <dimension ref="A1:M357"/>
  <sheetViews>
    <sheetView zoomScaleNormal="100" workbookViewId="0">
      <selection activeCell="B357" sqref="B357"/>
    </sheetView>
  </sheetViews>
  <sheetFormatPr defaultColWidth="9.109375" defaultRowHeight="14.4" x14ac:dyDescent="0.3"/>
  <cols>
    <col min="1" max="1" width="36.6640625" style="11" customWidth="1"/>
    <col min="2" max="2" width="12.33203125" style="11" customWidth="1"/>
    <col min="3" max="3" width="9.88671875" style="11" customWidth="1"/>
    <col min="4" max="4" width="9.109375" style="11" customWidth="1"/>
    <col min="5" max="5" width="11.44140625" style="11" customWidth="1"/>
    <col min="6" max="6" width="12.6640625" style="11" customWidth="1"/>
    <col min="7" max="7" width="10.33203125" style="11" customWidth="1"/>
    <col min="8" max="8" width="10.44140625" style="11" customWidth="1"/>
    <col min="9" max="11" width="9.88671875" style="11" customWidth="1"/>
    <col min="12" max="16384" width="9.109375" style="11"/>
  </cols>
  <sheetData>
    <row r="1" spans="1:13" x14ac:dyDescent="0.3">
      <c r="A1" s="59" t="s">
        <v>26</v>
      </c>
    </row>
    <row r="2" spans="1:13" x14ac:dyDescent="0.3">
      <c r="A2" s="8"/>
    </row>
    <row r="3" spans="1:13" ht="60" customHeight="1" x14ac:dyDescent="0.3">
      <c r="A3" s="466" t="s">
        <v>173</v>
      </c>
      <c r="B3" s="467"/>
      <c r="C3" s="467"/>
      <c r="D3" s="467"/>
      <c r="E3" s="467"/>
      <c r="F3" s="468"/>
      <c r="G3" s="99"/>
      <c r="H3" s="99"/>
      <c r="I3" s="99"/>
      <c r="J3" s="99"/>
      <c r="K3" s="99"/>
      <c r="L3" s="99"/>
      <c r="M3" s="99"/>
    </row>
    <row r="4" spans="1:13" x14ac:dyDescent="0.3">
      <c r="A4" s="33"/>
    </row>
    <row r="5" spans="1:13" ht="15.6" x14ac:dyDescent="0.35">
      <c r="A5" s="12" t="s">
        <v>104</v>
      </c>
      <c r="B5" s="13"/>
    </row>
    <row r="6" spans="1:13" ht="15.6" x14ac:dyDescent="0.35">
      <c r="A6" s="5" t="s">
        <v>103</v>
      </c>
      <c r="B6" s="138">
        <v>1.7770000000000001E-2</v>
      </c>
    </row>
    <row r="7" spans="1:13" ht="15.6" x14ac:dyDescent="0.35">
      <c r="A7" s="14" t="s">
        <v>105</v>
      </c>
      <c r="B7" s="139">
        <v>3.12</v>
      </c>
      <c r="H7" s="9"/>
      <c r="I7" s="9"/>
      <c r="J7" s="9"/>
      <c r="K7" s="9"/>
    </row>
    <row r="8" spans="1:13" ht="15.6" x14ac:dyDescent="0.35">
      <c r="A8" s="14" t="s">
        <v>205</v>
      </c>
      <c r="B8" s="139">
        <v>2.75</v>
      </c>
      <c r="H8" s="9"/>
      <c r="I8" s="9"/>
      <c r="J8" s="9"/>
      <c r="K8" s="9"/>
    </row>
    <row r="9" spans="1:13" ht="15.6" x14ac:dyDescent="0.35">
      <c r="A9" s="14" t="s">
        <v>106</v>
      </c>
      <c r="B9" s="47">
        <v>298</v>
      </c>
      <c r="H9" s="9"/>
      <c r="I9" s="9"/>
      <c r="J9" s="9"/>
      <c r="K9" s="9"/>
    </row>
    <row r="10" spans="1:13" ht="30" x14ac:dyDescent="0.3">
      <c r="A10" s="13" t="s">
        <v>107</v>
      </c>
      <c r="B10" s="48">
        <v>0.01</v>
      </c>
      <c r="H10" s="9"/>
      <c r="I10" s="21"/>
      <c r="J10" s="21"/>
      <c r="K10" s="21"/>
    </row>
    <row r="11" spans="1:13" ht="36.75" customHeight="1" x14ac:dyDescent="0.3">
      <c r="A11" s="40" t="s">
        <v>137</v>
      </c>
      <c r="B11" s="49">
        <v>7.4999999999999997E-3</v>
      </c>
      <c r="H11" s="9"/>
      <c r="I11" s="21"/>
      <c r="J11" s="21"/>
      <c r="K11" s="21"/>
    </row>
    <row r="12" spans="1:13" ht="38.25" customHeight="1" x14ac:dyDescent="0.3">
      <c r="A12" s="35" t="s">
        <v>138</v>
      </c>
      <c r="B12" s="48">
        <v>0.01</v>
      </c>
      <c r="H12" s="9"/>
      <c r="I12" s="21"/>
      <c r="J12" s="21"/>
      <c r="K12" s="21"/>
    </row>
    <row r="13" spans="1:13" ht="38.25" customHeight="1" x14ac:dyDescent="0.35">
      <c r="A13" s="35" t="s">
        <v>145</v>
      </c>
      <c r="B13" s="50">
        <v>16</v>
      </c>
      <c r="H13" s="9"/>
      <c r="I13" s="21"/>
      <c r="J13" s="21"/>
      <c r="K13" s="21"/>
    </row>
    <row r="14" spans="1:13" ht="15.6" x14ac:dyDescent="0.35">
      <c r="A14" s="14" t="s">
        <v>108</v>
      </c>
      <c r="B14" s="16">
        <f>2/20*B7</f>
        <v>0.31200000000000006</v>
      </c>
      <c r="H14" s="9"/>
      <c r="I14" s="21"/>
      <c r="J14" s="21"/>
      <c r="K14" s="21"/>
    </row>
    <row r="15" spans="1:13" x14ac:dyDescent="0.3">
      <c r="A15" s="11" t="s">
        <v>354</v>
      </c>
      <c r="B15" s="251">
        <v>0.2</v>
      </c>
      <c r="H15" s="9"/>
      <c r="I15" s="21"/>
      <c r="J15" s="21"/>
      <c r="K15" s="21"/>
    </row>
    <row r="16" spans="1:13" ht="28.8" x14ac:dyDescent="0.3">
      <c r="A16" s="14" t="s">
        <v>353</v>
      </c>
      <c r="B16" s="251">
        <v>0.13</v>
      </c>
      <c r="H16" s="9"/>
      <c r="I16" s="21"/>
      <c r="J16" s="21"/>
      <c r="K16" s="21"/>
    </row>
    <row r="17" spans="1:8" x14ac:dyDescent="0.3">
      <c r="A17" s="13"/>
      <c r="B17" s="15"/>
    </row>
    <row r="18" spans="1:8" ht="15.6" x14ac:dyDescent="0.35">
      <c r="A18" s="7" t="s">
        <v>18</v>
      </c>
      <c r="E18" s="418" t="s">
        <v>20</v>
      </c>
      <c r="F18" s="418"/>
      <c r="G18" s="18" t="s">
        <v>284</v>
      </c>
      <c r="H18" s="18" t="s">
        <v>338</v>
      </c>
    </row>
    <row r="19" spans="1:8" x14ac:dyDescent="0.3">
      <c r="A19" s="11" t="s">
        <v>23</v>
      </c>
      <c r="B19" s="51">
        <v>0.67249999999999999</v>
      </c>
      <c r="E19" s="463" t="s">
        <v>200</v>
      </c>
      <c r="F19" s="463"/>
      <c r="G19" s="51">
        <v>268</v>
      </c>
      <c r="H19" s="3">
        <f t="shared" ref="H19:H24" si="0">G19*44/12</f>
        <v>982.66666666666663</v>
      </c>
    </row>
    <row r="20" spans="1:8" ht="15.6" x14ac:dyDescent="0.35">
      <c r="A20" t="s">
        <v>146</v>
      </c>
      <c r="B20" s="51">
        <v>13.1</v>
      </c>
      <c r="E20" s="463" t="s">
        <v>201</v>
      </c>
      <c r="F20" s="463"/>
      <c r="G20" s="51">
        <v>128</v>
      </c>
      <c r="H20" s="3">
        <f t="shared" si="0"/>
        <v>469.33333333333331</v>
      </c>
    </row>
    <row r="21" spans="1:8" ht="15.6" x14ac:dyDescent="0.35">
      <c r="A21" s="11" t="s">
        <v>80</v>
      </c>
      <c r="B21" s="51">
        <v>22.25</v>
      </c>
      <c r="E21" s="463" t="s">
        <v>202</v>
      </c>
      <c r="F21" s="463"/>
      <c r="G21" s="51">
        <v>46</v>
      </c>
      <c r="H21" s="3">
        <f t="shared" si="0"/>
        <v>168.66666666666666</v>
      </c>
    </row>
    <row r="22" spans="1:8" x14ac:dyDescent="0.3">
      <c r="A22" s="11" t="s">
        <v>25</v>
      </c>
      <c r="B22" s="51">
        <v>0.22</v>
      </c>
      <c r="E22" s="463" t="s">
        <v>0</v>
      </c>
      <c r="F22" s="463"/>
      <c r="G22" s="51">
        <v>5</v>
      </c>
      <c r="H22" s="3">
        <f t="shared" si="0"/>
        <v>18.333333333333332</v>
      </c>
    </row>
    <row r="23" spans="1:8" ht="15.6" x14ac:dyDescent="0.35">
      <c r="A23" s="10" t="s">
        <v>109</v>
      </c>
      <c r="B23" s="52">
        <v>7.8</v>
      </c>
      <c r="E23" s="463" t="s">
        <v>217</v>
      </c>
      <c r="F23" s="463"/>
      <c r="G23" s="55">
        <v>75</v>
      </c>
      <c r="H23" s="3">
        <f t="shared" si="0"/>
        <v>275</v>
      </c>
    </row>
    <row r="24" spans="1:8" ht="15.6" x14ac:dyDescent="0.35">
      <c r="A24" s="10" t="s">
        <v>83</v>
      </c>
      <c r="B24" s="53">
        <v>15</v>
      </c>
      <c r="E24" s="469" t="s">
        <v>203</v>
      </c>
      <c r="F24" s="469"/>
      <c r="G24" s="51">
        <v>8.5</v>
      </c>
      <c r="H24" s="3">
        <f t="shared" si="0"/>
        <v>31.166666666666668</v>
      </c>
    </row>
    <row r="25" spans="1:8" ht="15.6" x14ac:dyDescent="0.35">
      <c r="A25" s="10" t="s">
        <v>84</v>
      </c>
      <c r="B25" s="53">
        <v>12</v>
      </c>
    </row>
    <row r="26" spans="1:8" ht="15.6" x14ac:dyDescent="0.35">
      <c r="A26" s="10" t="s">
        <v>110</v>
      </c>
      <c r="B26" s="52">
        <v>1.2</v>
      </c>
    </row>
    <row r="27" spans="1:8" x14ac:dyDescent="0.3">
      <c r="A27" s="10" t="s">
        <v>60</v>
      </c>
      <c r="B27" s="53">
        <v>40</v>
      </c>
    </row>
    <row r="28" spans="1:8" ht="15.6" x14ac:dyDescent="0.35">
      <c r="A28" s="10" t="s">
        <v>111</v>
      </c>
      <c r="B28" s="52">
        <v>45.1</v>
      </c>
      <c r="G28"/>
    </row>
    <row r="29" spans="1:8" ht="30" x14ac:dyDescent="0.35">
      <c r="A29" s="5" t="s">
        <v>147</v>
      </c>
      <c r="B29" s="53">
        <v>2200</v>
      </c>
    </row>
    <row r="30" spans="1:8" ht="30" x14ac:dyDescent="0.35">
      <c r="A30" s="5" t="s">
        <v>89</v>
      </c>
      <c r="B30" s="54">
        <v>0.17699999999999999</v>
      </c>
    </row>
    <row r="31" spans="1:8" ht="15.75" customHeight="1" x14ac:dyDescent="0.3">
      <c r="A31" s="180" t="s">
        <v>184</v>
      </c>
      <c r="B31" s="182">
        <v>5.3</v>
      </c>
    </row>
    <row r="32" spans="1:8" x14ac:dyDescent="0.3">
      <c r="A32" s="180" t="s">
        <v>185</v>
      </c>
      <c r="B32" s="183">
        <v>85</v>
      </c>
    </row>
    <row r="33" spans="1:12" x14ac:dyDescent="0.3">
      <c r="A33" s="180" t="s">
        <v>186</v>
      </c>
      <c r="B33" s="183">
        <v>35</v>
      </c>
    </row>
    <row r="34" spans="1:12" ht="28.8" x14ac:dyDescent="0.3">
      <c r="A34" s="180" t="s">
        <v>181</v>
      </c>
      <c r="B34" s="184">
        <v>0.08</v>
      </c>
    </row>
    <row r="35" spans="1:12" x14ac:dyDescent="0.3">
      <c r="A35" s="152" t="s">
        <v>191</v>
      </c>
      <c r="B35" s="185">
        <v>0.8</v>
      </c>
    </row>
    <row r="36" spans="1:12" x14ac:dyDescent="0.3">
      <c r="A36" s="180" t="s">
        <v>190</v>
      </c>
      <c r="B36" s="185">
        <v>0.25</v>
      </c>
    </row>
    <row r="37" spans="1:12" x14ac:dyDescent="0.3">
      <c r="A37" s="152" t="s">
        <v>192</v>
      </c>
      <c r="B37" s="185">
        <v>0.89</v>
      </c>
    </row>
    <row r="38" spans="1:12" x14ac:dyDescent="0.3">
      <c r="A38" s="5"/>
      <c r="B38" s="32"/>
    </row>
    <row r="39" spans="1:12" ht="64.5" customHeight="1" x14ac:dyDescent="0.35">
      <c r="A39" s="17" t="s">
        <v>2</v>
      </c>
      <c r="B39" s="18" t="s">
        <v>21</v>
      </c>
      <c r="C39" s="36" t="s">
        <v>115</v>
      </c>
      <c r="D39" s="36" t="s">
        <v>116</v>
      </c>
      <c r="E39" s="36" t="s">
        <v>117</v>
      </c>
      <c r="F39" s="37" t="s">
        <v>136</v>
      </c>
      <c r="G39" s="19" t="s">
        <v>74</v>
      </c>
      <c r="I39" s="19" t="s">
        <v>75</v>
      </c>
      <c r="J39" s="19" t="s">
        <v>76</v>
      </c>
      <c r="K39" s="19" t="s">
        <v>77</v>
      </c>
      <c r="L39" s="37" t="s">
        <v>125</v>
      </c>
    </row>
    <row r="40" spans="1:12" x14ac:dyDescent="0.3">
      <c r="A40" s="11" t="s">
        <v>11</v>
      </c>
      <c r="B40" s="51">
        <v>34</v>
      </c>
      <c r="C40" s="51"/>
      <c r="D40" s="51"/>
      <c r="E40" s="51"/>
      <c r="F40" s="51">
        <v>10</v>
      </c>
      <c r="G40" s="53">
        <v>2380</v>
      </c>
      <c r="H40" s="2"/>
      <c r="I40" s="2">
        <f>1000*B40/100*'Default data'!B$10*1.57</f>
        <v>5.3380000000000001</v>
      </c>
      <c r="J40" s="2">
        <f>(1000*B40/100)*((B$62/100*B$11)+(F40/100*B$12))*1.57</f>
        <v>1.73485</v>
      </c>
      <c r="K40" s="2">
        <f>SUM(I40:J40)</f>
        <v>7.0728499999999999</v>
      </c>
      <c r="L40" s="30">
        <f>K40*B$9</f>
        <v>2107.7093</v>
      </c>
    </row>
    <row r="41" spans="1:12" x14ac:dyDescent="0.3">
      <c r="A41" t="s">
        <v>7</v>
      </c>
      <c r="B41" s="51">
        <v>21</v>
      </c>
      <c r="C41" s="51"/>
      <c r="D41" s="51"/>
      <c r="E41" s="51"/>
      <c r="F41" s="51">
        <v>10</v>
      </c>
      <c r="G41" s="53">
        <v>340</v>
      </c>
      <c r="H41" s="2"/>
      <c r="I41" s="2">
        <f>1000*B41/100*'Default data'!B$10*1.57</f>
        <v>3.2970000000000002</v>
      </c>
      <c r="J41" s="2">
        <f>(1000*B41/100)*((B$62/100*B$11)+(F41/100*B$12))*1.57</f>
        <v>1.0715250000000001</v>
      </c>
      <c r="K41" s="2">
        <f>SUM(I41:J41)</f>
        <v>4.368525</v>
      </c>
      <c r="L41" s="30">
        <f>K41*B$9</f>
        <v>1301.8204499999999</v>
      </c>
    </row>
    <row r="42" spans="1:12" x14ac:dyDescent="0.3">
      <c r="A42" s="11" t="s">
        <v>12</v>
      </c>
      <c r="B42" s="51">
        <v>18</v>
      </c>
      <c r="C42" s="51"/>
      <c r="D42" s="51"/>
      <c r="E42" s="51">
        <v>45</v>
      </c>
      <c r="F42" s="51">
        <v>10</v>
      </c>
      <c r="G42" s="53">
        <v>460</v>
      </c>
      <c r="H42" s="2"/>
      <c r="I42" s="2">
        <f>1000*B42/100*'Default data'!B$10*1.57</f>
        <v>2.8260000000000001</v>
      </c>
      <c r="J42" s="2">
        <f>(1000*B42/100)*((B$62/100*B$11)+(F42/100*B$12))*1.57</f>
        <v>0.91844999999999999</v>
      </c>
      <c r="K42" s="2">
        <f>SUM(I42:J42)</f>
        <v>3.7444500000000001</v>
      </c>
      <c r="L42" s="30">
        <f>K42*B$9</f>
        <v>1115.8461</v>
      </c>
    </row>
    <row r="43" spans="1:12" x14ac:dyDescent="0.3">
      <c r="A43" s="11" t="s">
        <v>8</v>
      </c>
      <c r="B43" s="51">
        <v>46</v>
      </c>
      <c r="C43" s="51"/>
      <c r="D43" s="51"/>
      <c r="E43" s="51"/>
      <c r="F43" s="51">
        <v>10</v>
      </c>
      <c r="G43" s="53">
        <v>1340</v>
      </c>
      <c r="H43" s="2"/>
      <c r="I43" s="2">
        <f>1000*B43/100*'Default data'!B$10*1.57</f>
        <v>7.2220000000000013</v>
      </c>
      <c r="J43" s="2">
        <f>(1000*B43/100)*((B$62/100*B$11)+(F43/100*B$12))*1.57</f>
        <v>2.3471500000000001</v>
      </c>
      <c r="K43" s="2">
        <f>SUM(I43:J43)</f>
        <v>9.5691500000000005</v>
      </c>
      <c r="L43" s="30">
        <f>K43*B$9</f>
        <v>2851.6067000000003</v>
      </c>
    </row>
    <row r="44" spans="1:12" x14ac:dyDescent="0.3">
      <c r="A44" s="11" t="s">
        <v>157</v>
      </c>
      <c r="B44" s="51">
        <v>26</v>
      </c>
      <c r="C44" s="51"/>
      <c r="D44" s="51"/>
      <c r="E44" s="51"/>
      <c r="F44" s="51">
        <v>10</v>
      </c>
      <c r="G44" s="53">
        <v>1040</v>
      </c>
      <c r="H44" s="2"/>
      <c r="I44" s="2">
        <f>1000*B44/100*'Default data'!B$10*1.57</f>
        <v>4.0820000000000007</v>
      </c>
      <c r="J44" s="2">
        <f>(1000*B44/100)*((B$62/100*B$11)+(F44/100*B$12))*1.57</f>
        <v>1.3266500000000001</v>
      </c>
      <c r="K44" s="2">
        <f>SUM(I44:J44)</f>
        <v>5.4086500000000006</v>
      </c>
      <c r="L44" s="30">
        <f>K44*B$9</f>
        <v>1611.7777000000001</v>
      </c>
    </row>
    <row r="45" spans="1:12" x14ac:dyDescent="0.3">
      <c r="A45" s="11" t="s">
        <v>57</v>
      </c>
      <c r="B45" s="42"/>
      <c r="C45" s="51">
        <v>27</v>
      </c>
      <c r="D45" s="51"/>
      <c r="E45" s="51"/>
      <c r="F45" s="51"/>
      <c r="G45" s="53">
        <v>200</v>
      </c>
      <c r="H45" s="2"/>
      <c r="I45" s="2"/>
      <c r="J45" s="2"/>
      <c r="K45" s="2"/>
      <c r="L45" s="30"/>
    </row>
    <row r="46" spans="1:12" x14ac:dyDescent="0.3">
      <c r="A46" s="11" t="s">
        <v>10</v>
      </c>
      <c r="B46" s="42"/>
      <c r="C46" s="51"/>
      <c r="D46" s="51">
        <v>60</v>
      </c>
      <c r="E46" s="51"/>
      <c r="F46" s="51"/>
      <c r="G46" s="53">
        <v>200</v>
      </c>
      <c r="H46" s="2"/>
      <c r="I46" s="2"/>
      <c r="J46" s="2"/>
      <c r="K46" s="2"/>
      <c r="L46" s="30"/>
    </row>
    <row r="47" spans="1:12" x14ac:dyDescent="0.3">
      <c r="A47" s="11" t="s">
        <v>9</v>
      </c>
      <c r="B47" s="42"/>
      <c r="C47" s="51"/>
      <c r="D47" s="51"/>
      <c r="E47" s="51">
        <v>34</v>
      </c>
      <c r="F47" s="51"/>
      <c r="G47" s="53">
        <v>44</v>
      </c>
      <c r="H47" s="2"/>
      <c r="I47" s="2"/>
      <c r="J47" s="2"/>
      <c r="K47" s="2"/>
      <c r="L47" s="30"/>
    </row>
    <row r="48" spans="1:12" x14ac:dyDescent="0.3">
      <c r="A48" s="11" t="s">
        <v>78</v>
      </c>
      <c r="B48" s="42"/>
      <c r="C48" s="51"/>
      <c r="D48" s="51"/>
      <c r="E48" s="51">
        <v>45</v>
      </c>
      <c r="F48" s="51"/>
      <c r="G48" s="53">
        <v>170</v>
      </c>
      <c r="H48" s="2"/>
      <c r="I48" s="2"/>
      <c r="J48" s="2"/>
      <c r="K48" s="2"/>
      <c r="L48" s="30"/>
    </row>
    <row r="49" spans="1:12" x14ac:dyDescent="0.3">
      <c r="A49" s="11" t="s">
        <v>79</v>
      </c>
      <c r="B49" s="42"/>
      <c r="C49" s="51">
        <v>15</v>
      </c>
      <c r="D49" s="51"/>
      <c r="E49" s="51"/>
      <c r="F49" s="51"/>
      <c r="G49" s="53">
        <v>547</v>
      </c>
      <c r="H49" s="2"/>
      <c r="I49" s="2"/>
      <c r="J49" s="2"/>
      <c r="K49" s="2"/>
      <c r="L49" s="30"/>
    </row>
    <row r="50" spans="1:12" s="279" customFormat="1" x14ac:dyDescent="0.3">
      <c r="A50" s="295" t="str">
        <f>'5. User defined fertiliser'!C6</f>
        <v>User defined 1</v>
      </c>
      <c r="B50" s="296">
        <f>'5. User defined fertiliser'!C11</f>
        <v>0</v>
      </c>
      <c r="C50" s="296"/>
      <c r="D50" s="296">
        <f>'5. User defined fertiliser'!C15</f>
        <v>0</v>
      </c>
      <c r="E50" s="296">
        <f>'5. User defined fertiliser'!C13</f>
        <v>0</v>
      </c>
      <c r="F50" s="237">
        <v>10</v>
      </c>
      <c r="G50" s="212">
        <f>'5. User defined fertiliser'!C34</f>
        <v>0</v>
      </c>
      <c r="H50" s="234"/>
      <c r="I50" s="235">
        <f>1000*B50/100*'Default data'!B$10*1.57</f>
        <v>0</v>
      </c>
      <c r="J50" s="235">
        <f t="shared" ref="J50:J59" si="1">(1000*B50/100)*((B$62/100*B$11)+(F50/100*B$12))*1.57</f>
        <v>0</v>
      </c>
      <c r="K50" s="235">
        <f t="shared" ref="K50:K59" si="2">SUM(I50:J50)</f>
        <v>0</v>
      </c>
      <c r="L50" s="236">
        <f t="shared" ref="L50:L59" si="3">K50*B$9</f>
        <v>0</v>
      </c>
    </row>
    <row r="51" spans="1:12" s="279" customFormat="1" x14ac:dyDescent="0.3">
      <c r="A51" s="295" t="str">
        <f>'5. User defined fertiliser'!C37</f>
        <v>User defined 2</v>
      </c>
      <c r="B51" s="298">
        <f>'5. User defined fertiliser'!C42</f>
        <v>0</v>
      </c>
      <c r="C51" s="298"/>
      <c r="D51" s="298">
        <f>'5. User defined fertiliser'!C46</f>
        <v>0</v>
      </c>
      <c r="E51" s="298">
        <f>'5. User defined fertiliser'!C44</f>
        <v>0</v>
      </c>
      <c r="F51" s="237">
        <v>10</v>
      </c>
      <c r="G51" s="212">
        <f>'5. User defined fertiliser'!C60</f>
        <v>0</v>
      </c>
      <c r="H51" s="2"/>
      <c r="I51" s="235">
        <f>1000*B51/100*'Default data'!B$10*1.57</f>
        <v>0</v>
      </c>
      <c r="J51" s="235">
        <f t="shared" si="1"/>
        <v>0</v>
      </c>
      <c r="K51" s="235">
        <f t="shared" si="2"/>
        <v>0</v>
      </c>
      <c r="L51" s="236">
        <f t="shared" si="3"/>
        <v>0</v>
      </c>
    </row>
    <row r="52" spans="1:12" s="279" customFormat="1" x14ac:dyDescent="0.3">
      <c r="A52" s="295" t="str">
        <f>'5. User defined fertiliser'!C63</f>
        <v>User defined 3</v>
      </c>
      <c r="B52" s="298">
        <f>'5. User defined fertiliser'!C68</f>
        <v>0</v>
      </c>
      <c r="C52" s="297"/>
      <c r="D52" s="298">
        <f>'5. User defined fertiliser'!C72</f>
        <v>0</v>
      </c>
      <c r="E52" s="298">
        <f>'5. User defined fertiliser'!C70</f>
        <v>0</v>
      </c>
      <c r="F52" s="237">
        <v>10</v>
      </c>
      <c r="G52" s="212">
        <f>'5. User defined fertiliser'!C86</f>
        <v>0</v>
      </c>
      <c r="H52" s="2"/>
      <c r="I52" s="235">
        <f>1000*B52/100*'Default data'!B$10*1.57</f>
        <v>0</v>
      </c>
      <c r="J52" s="235">
        <f t="shared" si="1"/>
        <v>0</v>
      </c>
      <c r="K52" s="235">
        <f t="shared" si="2"/>
        <v>0</v>
      </c>
      <c r="L52" s="236">
        <f t="shared" si="3"/>
        <v>0</v>
      </c>
    </row>
    <row r="53" spans="1:12" s="279" customFormat="1" x14ac:dyDescent="0.3">
      <c r="A53" s="295" t="str">
        <f>'5. User defined fertiliser'!C89</f>
        <v>User defined 4</v>
      </c>
      <c r="B53" s="298">
        <f>'5. User defined fertiliser'!C94</f>
        <v>0</v>
      </c>
      <c r="C53" s="297"/>
      <c r="D53" s="298">
        <f>'5. User defined fertiliser'!C98</f>
        <v>0</v>
      </c>
      <c r="E53" s="298">
        <f>'5. User defined fertiliser'!C96</f>
        <v>0</v>
      </c>
      <c r="F53" s="237">
        <v>10</v>
      </c>
      <c r="G53" s="212">
        <f>'5. User defined fertiliser'!C112</f>
        <v>0</v>
      </c>
      <c r="H53" s="2"/>
      <c r="I53" s="235">
        <f>1000*B53/100*'Default data'!B$10*1.57</f>
        <v>0</v>
      </c>
      <c r="J53" s="235">
        <f t="shared" si="1"/>
        <v>0</v>
      </c>
      <c r="K53" s="235">
        <f t="shared" si="2"/>
        <v>0</v>
      </c>
      <c r="L53" s="236">
        <f t="shared" si="3"/>
        <v>0</v>
      </c>
    </row>
    <row r="54" spans="1:12" s="279" customFormat="1" x14ac:dyDescent="0.3">
      <c r="A54" s="295" t="str">
        <f>'5. User defined fertiliser'!C115</f>
        <v>User defined 5</v>
      </c>
      <c r="B54" s="298">
        <f>'5. User defined fertiliser'!C120</f>
        <v>0</v>
      </c>
      <c r="C54" s="297"/>
      <c r="D54" s="298">
        <f>'5. User defined fertiliser'!C124</f>
        <v>0</v>
      </c>
      <c r="E54" s="298">
        <f>'5. User defined fertiliser'!C122</f>
        <v>0</v>
      </c>
      <c r="F54" s="237">
        <v>10</v>
      </c>
      <c r="G54" s="212">
        <f>'5. User defined fertiliser'!C138</f>
        <v>0</v>
      </c>
      <c r="H54" s="2"/>
      <c r="I54" s="235">
        <f>1000*B54/100*'Default data'!B$10*1.57</f>
        <v>0</v>
      </c>
      <c r="J54" s="235">
        <f t="shared" si="1"/>
        <v>0</v>
      </c>
      <c r="K54" s="235">
        <f t="shared" si="2"/>
        <v>0</v>
      </c>
      <c r="L54" s="236">
        <f t="shared" si="3"/>
        <v>0</v>
      </c>
    </row>
    <row r="55" spans="1:12" x14ac:dyDescent="0.3">
      <c r="A55" s="295" t="str">
        <f>'5. User defined fertiliser'!C141</f>
        <v>User defined 6</v>
      </c>
      <c r="B55" s="298">
        <f>'5. User defined fertiliser'!C146</f>
        <v>0</v>
      </c>
      <c r="C55" s="296"/>
      <c r="D55" s="298">
        <f>'5. User defined fertiliser'!C150</f>
        <v>0</v>
      </c>
      <c r="E55" s="298">
        <f>'5. User defined fertiliser'!C148</f>
        <v>0</v>
      </c>
      <c r="F55" s="237">
        <v>10</v>
      </c>
      <c r="G55" s="212">
        <f>'5. User defined fertiliser'!C164</f>
        <v>0</v>
      </c>
      <c r="H55" s="234"/>
      <c r="I55" s="235">
        <f>1000*B55/100*'Default data'!B$10*1.57</f>
        <v>0</v>
      </c>
      <c r="J55" s="235">
        <f t="shared" si="1"/>
        <v>0</v>
      </c>
      <c r="K55" s="235">
        <f t="shared" si="2"/>
        <v>0</v>
      </c>
      <c r="L55" s="236">
        <f t="shared" si="3"/>
        <v>0</v>
      </c>
    </row>
    <row r="56" spans="1:12" x14ac:dyDescent="0.3">
      <c r="A56" s="295" t="str">
        <f>'5. User defined fertiliser'!C167</f>
        <v>User defined 7</v>
      </c>
      <c r="B56" s="298">
        <f>'5. User defined fertiliser'!C172</f>
        <v>0</v>
      </c>
      <c r="C56" s="297"/>
      <c r="D56" s="298">
        <f>'5. User defined fertiliser'!C176</f>
        <v>0</v>
      </c>
      <c r="E56" s="298">
        <f>'5. User defined fertiliser'!C174</f>
        <v>0</v>
      </c>
      <c r="F56" s="237">
        <v>10</v>
      </c>
      <c r="G56" s="212">
        <f>'5. User defined fertiliser'!C190</f>
        <v>0</v>
      </c>
      <c r="H56" s="2"/>
      <c r="I56" s="235">
        <f>1000*B56/100*'Default data'!B$10*1.57</f>
        <v>0</v>
      </c>
      <c r="J56" s="235">
        <f t="shared" si="1"/>
        <v>0</v>
      </c>
      <c r="K56" s="235">
        <f t="shared" si="2"/>
        <v>0</v>
      </c>
      <c r="L56" s="236">
        <f t="shared" si="3"/>
        <v>0</v>
      </c>
    </row>
    <row r="57" spans="1:12" x14ac:dyDescent="0.3">
      <c r="A57" s="295" t="str">
        <f>'5. User defined fertiliser'!C193</f>
        <v>User defined 8</v>
      </c>
      <c r="B57" s="298">
        <f>'5. User defined fertiliser'!C198</f>
        <v>0</v>
      </c>
      <c r="C57" s="297"/>
      <c r="D57" s="298">
        <f>'5. User defined fertiliser'!C202</f>
        <v>0</v>
      </c>
      <c r="E57" s="298">
        <f>'5. User defined fertiliser'!C200</f>
        <v>0</v>
      </c>
      <c r="F57" s="237">
        <v>10</v>
      </c>
      <c r="G57" s="212">
        <f>'5. User defined fertiliser'!C216</f>
        <v>0</v>
      </c>
      <c r="H57" s="2"/>
      <c r="I57" s="235">
        <f>1000*B57/100*'Default data'!B$10*1.57</f>
        <v>0</v>
      </c>
      <c r="J57" s="235">
        <f t="shared" si="1"/>
        <v>0</v>
      </c>
      <c r="K57" s="235">
        <f t="shared" si="2"/>
        <v>0</v>
      </c>
      <c r="L57" s="236">
        <f t="shared" si="3"/>
        <v>0</v>
      </c>
    </row>
    <row r="58" spans="1:12" x14ac:dyDescent="0.3">
      <c r="A58" s="295" t="str">
        <f>'5. User defined fertiliser'!C219</f>
        <v>User defined 9</v>
      </c>
      <c r="B58" s="298">
        <f>'5. User defined fertiliser'!C224</f>
        <v>0</v>
      </c>
      <c r="C58" s="297"/>
      <c r="D58" s="298">
        <f>'5. User defined fertiliser'!C228</f>
        <v>0</v>
      </c>
      <c r="E58" s="298">
        <f>'5. User defined fertiliser'!C226</f>
        <v>0</v>
      </c>
      <c r="F58" s="237">
        <v>10</v>
      </c>
      <c r="G58" s="212">
        <f>'5. User defined fertiliser'!C242</f>
        <v>0</v>
      </c>
      <c r="H58" s="2"/>
      <c r="I58" s="235">
        <f>1000*B58/100*'Default data'!B$10*1.57</f>
        <v>0</v>
      </c>
      <c r="J58" s="235">
        <f t="shared" si="1"/>
        <v>0</v>
      </c>
      <c r="K58" s="235">
        <f t="shared" si="2"/>
        <v>0</v>
      </c>
      <c r="L58" s="236">
        <f t="shared" si="3"/>
        <v>0</v>
      </c>
    </row>
    <row r="59" spans="1:12" x14ac:dyDescent="0.3">
      <c r="A59" s="295" t="str">
        <f>'5. User defined fertiliser'!C245</f>
        <v>User defined 10</v>
      </c>
      <c r="B59" s="298">
        <f>'5. User defined fertiliser'!C250</f>
        <v>0</v>
      </c>
      <c r="C59" s="297"/>
      <c r="D59" s="298">
        <f>'5. User defined fertiliser'!C254</f>
        <v>0</v>
      </c>
      <c r="E59" s="298">
        <f>'5. User defined fertiliser'!C252</f>
        <v>0</v>
      </c>
      <c r="F59" s="237">
        <v>10</v>
      </c>
      <c r="G59" s="212">
        <f>'5. User defined fertiliser'!C268</f>
        <v>0</v>
      </c>
      <c r="H59" s="2"/>
      <c r="I59" s="235">
        <f>1000*B59/100*'Default data'!B$10*1.57</f>
        <v>0</v>
      </c>
      <c r="J59" s="235">
        <f t="shared" si="1"/>
        <v>0</v>
      </c>
      <c r="K59" s="235">
        <f t="shared" si="2"/>
        <v>0</v>
      </c>
      <c r="L59" s="236">
        <f t="shared" si="3"/>
        <v>0</v>
      </c>
    </row>
    <row r="60" spans="1:12" x14ac:dyDescent="0.3">
      <c r="A60" s="11" t="s">
        <v>13</v>
      </c>
      <c r="B60" s="51">
        <v>0.32</v>
      </c>
      <c r="C60" s="51"/>
      <c r="D60" s="51"/>
      <c r="E60" s="51"/>
      <c r="F60" s="51">
        <v>20</v>
      </c>
      <c r="G60" s="51"/>
      <c r="H60" s="2"/>
      <c r="I60" s="2"/>
      <c r="J60" s="2"/>
      <c r="K60" s="2"/>
      <c r="L60" s="30"/>
    </row>
    <row r="61" spans="1:12" x14ac:dyDescent="0.3">
      <c r="A61" s="11" t="s">
        <v>15</v>
      </c>
      <c r="B61" s="51">
        <v>4.4999999999999998E-2</v>
      </c>
      <c r="C61" s="51"/>
      <c r="D61" s="51"/>
      <c r="E61" s="51"/>
      <c r="F61" s="51">
        <v>20</v>
      </c>
      <c r="G61" s="51"/>
      <c r="H61" s="2"/>
      <c r="I61" s="2"/>
      <c r="J61" s="2"/>
      <c r="K61" s="2"/>
      <c r="L61" s="30"/>
    </row>
    <row r="62" spans="1:12" x14ac:dyDescent="0.3">
      <c r="A62" t="s">
        <v>139</v>
      </c>
      <c r="B62" s="51">
        <v>30</v>
      </c>
      <c r="C62" s="51"/>
      <c r="D62" s="42"/>
      <c r="E62" s="42"/>
      <c r="F62" s="42"/>
      <c r="G62" s="42"/>
    </row>
    <row r="63" spans="1:12" x14ac:dyDescent="0.3">
      <c r="B63" s="6"/>
    </row>
    <row r="64" spans="1:12" x14ac:dyDescent="0.3">
      <c r="A64" s="186" t="s">
        <v>255</v>
      </c>
      <c r="B64"/>
      <c r="C64"/>
    </row>
    <row r="65" spans="1:6" x14ac:dyDescent="0.3">
      <c r="A65"/>
      <c r="B65"/>
      <c r="C65"/>
    </row>
    <row r="66" spans="1:6" x14ac:dyDescent="0.3">
      <c r="A66"/>
      <c r="B66" s="36" t="s">
        <v>256</v>
      </c>
      <c r="C66" s="465" t="s">
        <v>257</v>
      </c>
      <c r="D66" s="465"/>
    </row>
    <row r="67" spans="1:6" x14ac:dyDescent="0.3">
      <c r="A67" t="s">
        <v>222</v>
      </c>
      <c r="B67" s="187">
        <v>3.3</v>
      </c>
      <c r="C67" s="463">
        <f>IF('5. User defined fertiliser'!E11="Y",B67,)</f>
        <v>0</v>
      </c>
      <c r="D67" s="463"/>
    </row>
    <row r="68" spans="1:6" x14ac:dyDescent="0.3">
      <c r="A68" t="s">
        <v>223</v>
      </c>
      <c r="B68">
        <v>8.5</v>
      </c>
      <c r="C68" s="463">
        <f>IF('5. User defined fertiliser'!F11="Y",B68,)</f>
        <v>0</v>
      </c>
      <c r="D68" s="463"/>
    </row>
    <row r="69" spans="1:6" x14ac:dyDescent="0.3">
      <c r="A69" t="s">
        <v>224</v>
      </c>
      <c r="B69">
        <v>2.7</v>
      </c>
      <c r="C69" s="463">
        <f>IF('5. User defined fertiliser'!G11="Y",B69,)</f>
        <v>0</v>
      </c>
      <c r="D69" s="463"/>
    </row>
    <row r="70" spans="1:6" x14ac:dyDescent="0.3">
      <c r="A70" t="s">
        <v>225</v>
      </c>
      <c r="B70">
        <v>1</v>
      </c>
      <c r="C70" s="463">
        <f>IF('5. User defined fertiliser'!H11="Y",B70,)</f>
        <v>0</v>
      </c>
      <c r="D70" s="463"/>
    </row>
    <row r="71" spans="1:6" x14ac:dyDescent="0.3">
      <c r="A71" t="s">
        <v>226</v>
      </c>
      <c r="B71">
        <v>7</v>
      </c>
      <c r="C71" s="463">
        <f>IF('5. User defined fertiliser'!I11="Y",B71,)</f>
        <v>0</v>
      </c>
      <c r="D71" s="463"/>
    </row>
    <row r="72" spans="1:6" x14ac:dyDescent="0.3">
      <c r="A72" t="s">
        <v>258</v>
      </c>
      <c r="B72">
        <f>AVERAGE(B67:B71)</f>
        <v>4.5</v>
      </c>
      <c r="C72" s="463">
        <f>SUM(C67:D71)</f>
        <v>0</v>
      </c>
      <c r="D72" s="463"/>
    </row>
    <row r="73" spans="1:6" x14ac:dyDescent="0.3">
      <c r="A73"/>
      <c r="B73"/>
      <c r="C73" s="461">
        <f>IF(C72=0, B72, C72)</f>
        <v>4.5</v>
      </c>
      <c r="D73" s="461"/>
      <c r="F73" s="257"/>
    </row>
    <row r="74" spans="1:6" x14ac:dyDescent="0.3">
      <c r="A74"/>
      <c r="B74"/>
      <c r="C74" s="462"/>
      <c r="D74" s="462"/>
    </row>
    <row r="75" spans="1:6" x14ac:dyDescent="0.3">
      <c r="A75" t="s">
        <v>229</v>
      </c>
      <c r="B75">
        <v>2.7</v>
      </c>
      <c r="C75" s="463">
        <f>IF('5. User defined fertiliser'!E13="Y",B75,)</f>
        <v>0</v>
      </c>
      <c r="D75" s="463"/>
    </row>
    <row r="76" spans="1:6" x14ac:dyDescent="0.3">
      <c r="A76" t="s">
        <v>230</v>
      </c>
      <c r="B76">
        <v>2</v>
      </c>
      <c r="C76" s="463">
        <f>IF('5. User defined fertiliser'!F13="Y",B76,)</f>
        <v>0</v>
      </c>
      <c r="D76" s="463"/>
    </row>
    <row r="77" spans="1:6" x14ac:dyDescent="0.3">
      <c r="A77" t="s">
        <v>259</v>
      </c>
      <c r="B77">
        <v>0.2</v>
      </c>
      <c r="C77" s="463">
        <f>IF('5. User defined fertiliser'!G13="Y",B77,)</f>
        <v>0</v>
      </c>
      <c r="D77" s="463"/>
    </row>
    <row r="78" spans="1:6" x14ac:dyDescent="0.3">
      <c r="A78" t="s">
        <v>260</v>
      </c>
      <c r="B78" s="187">
        <f>AVERAGE(B75:B77)</f>
        <v>1.6333333333333335</v>
      </c>
      <c r="C78" s="463">
        <f>SUM(C75:D77)</f>
        <v>0</v>
      </c>
      <c r="D78" s="463"/>
    </row>
    <row r="79" spans="1:6" x14ac:dyDescent="0.3">
      <c r="A79"/>
      <c r="B79"/>
      <c r="C79" s="461">
        <f>IF(C78=0, B78, C78)</f>
        <v>1.6333333333333335</v>
      </c>
      <c r="D79" s="461"/>
    </row>
    <row r="80" spans="1:6" x14ac:dyDescent="0.3">
      <c r="A80"/>
      <c r="B80"/>
      <c r="C80" s="462"/>
      <c r="D80" s="462"/>
    </row>
    <row r="81" spans="1:4" x14ac:dyDescent="0.3">
      <c r="A81" t="s">
        <v>234</v>
      </c>
      <c r="B81">
        <v>0.5</v>
      </c>
      <c r="C81" s="463">
        <f>IF('5. User defined fertiliser'!E$15="Y",B81,)</f>
        <v>0</v>
      </c>
      <c r="D81" s="463"/>
    </row>
    <row r="82" spans="1:4" x14ac:dyDescent="0.3">
      <c r="A82" t="s">
        <v>235</v>
      </c>
      <c r="B82">
        <v>1.4</v>
      </c>
      <c r="C82" s="463">
        <f>IF('5. User defined fertiliser'!F$15="Y",B82,)</f>
        <v>0</v>
      </c>
      <c r="D82" s="463"/>
    </row>
    <row r="83" spans="1:4" x14ac:dyDescent="0.3">
      <c r="A83" t="s">
        <v>261</v>
      </c>
      <c r="B83" s="187">
        <f>AVERAGE(B81:B82)</f>
        <v>0.95</v>
      </c>
      <c r="C83" s="463">
        <f>SUM(C81:D82)</f>
        <v>0</v>
      </c>
      <c r="D83" s="463"/>
    </row>
    <row r="84" spans="1:4" x14ac:dyDescent="0.3">
      <c r="A84"/>
      <c r="B84"/>
      <c r="C84" s="464">
        <f>IF(C83=0, B83, C83)</f>
        <v>0.95</v>
      </c>
      <c r="D84" s="464"/>
    </row>
    <row r="85" spans="1:4" x14ac:dyDescent="0.3">
      <c r="A85"/>
      <c r="B85"/>
      <c r="C85" s="462"/>
      <c r="D85" s="462"/>
    </row>
    <row r="86" spans="1:4" x14ac:dyDescent="0.3">
      <c r="A86" t="s">
        <v>262</v>
      </c>
      <c r="B86"/>
      <c r="C86" s="464">
        <v>0.9</v>
      </c>
      <c r="D86" s="464"/>
    </row>
    <row r="87" spans="1:4" x14ac:dyDescent="0.3">
      <c r="A87" t="s">
        <v>263</v>
      </c>
      <c r="B87"/>
      <c r="C87" s="464">
        <v>1</v>
      </c>
      <c r="D87" s="464"/>
    </row>
    <row r="88" spans="1:4" x14ac:dyDescent="0.3">
      <c r="A88" t="s">
        <v>264</v>
      </c>
      <c r="B88"/>
      <c r="C88" s="464"/>
      <c r="D88" s="464"/>
    </row>
    <row r="89" spans="1:4" x14ac:dyDescent="0.3">
      <c r="A89" t="s">
        <v>265</v>
      </c>
      <c r="B89"/>
      <c r="C89" s="464">
        <v>1.9</v>
      </c>
      <c r="D89" s="464"/>
    </row>
    <row r="90" spans="1:4" x14ac:dyDescent="0.3">
      <c r="A90" t="s">
        <v>266</v>
      </c>
      <c r="B90"/>
      <c r="C90" s="464">
        <v>0.2</v>
      </c>
      <c r="D90" s="464"/>
    </row>
    <row r="91" spans="1:4" x14ac:dyDescent="0.3">
      <c r="A91" t="s">
        <v>267</v>
      </c>
      <c r="B91"/>
      <c r="C91" s="464">
        <v>1.8</v>
      </c>
      <c r="D91" s="464"/>
    </row>
    <row r="92" spans="1:4" x14ac:dyDescent="0.3">
      <c r="A92" t="s">
        <v>268</v>
      </c>
      <c r="B92"/>
      <c r="C92" s="464">
        <v>2.9</v>
      </c>
      <c r="D92" s="464"/>
    </row>
    <row r="93" spans="1:4" x14ac:dyDescent="0.3">
      <c r="B93" s="6"/>
    </row>
    <row r="94" spans="1:4" x14ac:dyDescent="0.3">
      <c r="A94" s="7" t="s">
        <v>172</v>
      </c>
    </row>
    <row r="96" spans="1:4" ht="15" hidden="1" customHeight="1" x14ac:dyDescent="0.3">
      <c r="A96" s="309" t="s">
        <v>422</v>
      </c>
      <c r="B96" s="284"/>
      <c r="C96" s="284"/>
      <c r="D96" s="283"/>
    </row>
    <row r="97" spans="1:4" ht="15" hidden="1" customHeight="1" x14ac:dyDescent="0.3">
      <c r="A97" s="284"/>
      <c r="B97" s="36" t="s">
        <v>256</v>
      </c>
      <c r="C97" s="465" t="s">
        <v>257</v>
      </c>
      <c r="D97" s="465"/>
    </row>
    <row r="98" spans="1:4" ht="15" hidden="1" customHeight="1" x14ac:dyDescent="0.3">
      <c r="A98" s="284" t="s">
        <v>222</v>
      </c>
      <c r="B98" s="187">
        <v>3.3</v>
      </c>
      <c r="C98" s="463">
        <f>IF('5. User defined fertiliser'!E42="Y",B98,)</f>
        <v>0</v>
      </c>
      <c r="D98" s="463"/>
    </row>
    <row r="99" spans="1:4" ht="15" hidden="1" customHeight="1" x14ac:dyDescent="0.3">
      <c r="A99" s="284" t="s">
        <v>223</v>
      </c>
      <c r="B99" s="284">
        <v>8.5</v>
      </c>
      <c r="C99" s="463">
        <f>IF('5. User defined fertiliser'!F42="Y",B99,)</f>
        <v>0</v>
      </c>
      <c r="D99" s="463"/>
    </row>
    <row r="100" spans="1:4" ht="15" hidden="1" customHeight="1" x14ac:dyDescent="0.3">
      <c r="A100" s="284" t="s">
        <v>224</v>
      </c>
      <c r="B100" s="284">
        <v>2.7</v>
      </c>
      <c r="C100" s="463">
        <f>IF('5. User defined fertiliser'!G42="Y",B100,)</f>
        <v>0</v>
      </c>
      <c r="D100" s="463"/>
    </row>
    <row r="101" spans="1:4" ht="15" hidden="1" customHeight="1" x14ac:dyDescent="0.3">
      <c r="A101" s="284" t="s">
        <v>225</v>
      </c>
      <c r="B101" s="284">
        <v>1</v>
      </c>
      <c r="C101" s="463">
        <f>IF('5. User defined fertiliser'!H42="Y",B101,)</f>
        <v>0</v>
      </c>
      <c r="D101" s="463"/>
    </row>
    <row r="102" spans="1:4" ht="15" hidden="1" customHeight="1" x14ac:dyDescent="0.3">
      <c r="A102" s="284" t="s">
        <v>226</v>
      </c>
      <c r="B102" s="284">
        <v>7</v>
      </c>
      <c r="C102" s="463">
        <f>IF('5. User defined fertiliser'!I42="Y",B102,)</f>
        <v>0</v>
      </c>
      <c r="D102" s="463"/>
    </row>
    <row r="103" spans="1:4" ht="15" hidden="1" customHeight="1" x14ac:dyDescent="0.3">
      <c r="A103" s="284" t="s">
        <v>258</v>
      </c>
      <c r="B103" s="284">
        <f>AVERAGE(B98:B102)</f>
        <v>4.5</v>
      </c>
      <c r="C103" s="463">
        <f>SUM(C98:D102)</f>
        <v>0</v>
      </c>
      <c r="D103" s="463"/>
    </row>
    <row r="104" spans="1:4" ht="15" hidden="1" customHeight="1" x14ac:dyDescent="0.3">
      <c r="A104" s="284"/>
      <c r="B104" s="284"/>
      <c r="C104" s="461">
        <f>IF(C103=0, B103, C103)</f>
        <v>4.5</v>
      </c>
      <c r="D104" s="461"/>
    </row>
    <row r="105" spans="1:4" ht="15" hidden="1" customHeight="1" x14ac:dyDescent="0.3">
      <c r="A105" s="284"/>
      <c r="B105" s="284"/>
      <c r="C105" s="462"/>
      <c r="D105" s="462"/>
    </row>
    <row r="106" spans="1:4" ht="15" hidden="1" customHeight="1" x14ac:dyDescent="0.3">
      <c r="A106" s="284" t="s">
        <v>229</v>
      </c>
      <c r="B106" s="284">
        <v>2.7</v>
      </c>
      <c r="C106" s="463">
        <f>IF('5. User defined fertiliser'!E44="Y",B106,)</f>
        <v>0</v>
      </c>
      <c r="D106" s="463"/>
    </row>
    <row r="107" spans="1:4" ht="15" hidden="1" customHeight="1" x14ac:dyDescent="0.3">
      <c r="A107" s="284" t="s">
        <v>230</v>
      </c>
      <c r="B107" s="284">
        <v>2</v>
      </c>
      <c r="C107" s="463">
        <f>IF('5. User defined fertiliser'!F44="Y",B107,)</f>
        <v>0</v>
      </c>
      <c r="D107" s="463"/>
    </row>
    <row r="108" spans="1:4" ht="15" hidden="1" customHeight="1" x14ac:dyDescent="0.3">
      <c r="A108" s="284" t="s">
        <v>259</v>
      </c>
      <c r="B108" s="284">
        <v>0.2</v>
      </c>
      <c r="C108" s="463">
        <f>IF('5. User defined fertiliser'!G44="Y",B108,)</f>
        <v>0</v>
      </c>
      <c r="D108" s="463"/>
    </row>
    <row r="109" spans="1:4" ht="15" hidden="1" customHeight="1" x14ac:dyDescent="0.3">
      <c r="A109" s="284" t="s">
        <v>260</v>
      </c>
      <c r="B109" s="187">
        <f>AVERAGE(B106:B108)</f>
        <v>1.6333333333333335</v>
      </c>
      <c r="C109" s="463">
        <f>SUM(C106:D108)</f>
        <v>0</v>
      </c>
      <c r="D109" s="463"/>
    </row>
    <row r="110" spans="1:4" ht="15" hidden="1" customHeight="1" x14ac:dyDescent="0.3">
      <c r="A110" s="284"/>
      <c r="B110" s="284"/>
      <c r="C110" s="461">
        <f>IF(C109=0, B109, C109)</f>
        <v>1.6333333333333335</v>
      </c>
      <c r="D110" s="461"/>
    </row>
    <row r="111" spans="1:4" ht="15" hidden="1" customHeight="1" x14ac:dyDescent="0.3">
      <c r="A111" s="284"/>
      <c r="B111" s="284"/>
      <c r="C111" s="462"/>
      <c r="D111" s="462"/>
    </row>
    <row r="112" spans="1:4" ht="15" hidden="1" customHeight="1" x14ac:dyDescent="0.3">
      <c r="A112" s="284" t="s">
        <v>234</v>
      </c>
      <c r="B112" s="284">
        <v>0.5</v>
      </c>
      <c r="C112" s="463">
        <f>IF('5. User defined fertiliser'!E46="Y",B112,)</f>
        <v>0</v>
      </c>
      <c r="D112" s="463"/>
    </row>
    <row r="113" spans="1:4" ht="15" hidden="1" customHeight="1" x14ac:dyDescent="0.3">
      <c r="A113" s="284" t="s">
        <v>235</v>
      </c>
      <c r="B113" s="284">
        <v>1.4</v>
      </c>
      <c r="C113" s="463">
        <f>IF('5. User defined fertiliser'!F46="Y",B113,)</f>
        <v>0</v>
      </c>
      <c r="D113" s="463"/>
    </row>
    <row r="114" spans="1:4" ht="15" hidden="1" customHeight="1" x14ac:dyDescent="0.3">
      <c r="A114" s="284" t="s">
        <v>261</v>
      </c>
      <c r="B114" s="187">
        <f>AVERAGE(B112:B113)</f>
        <v>0.95</v>
      </c>
      <c r="C114" s="463">
        <f>SUM(C112:D113)</f>
        <v>0</v>
      </c>
      <c r="D114" s="463"/>
    </row>
    <row r="115" spans="1:4" ht="15" hidden="1" customHeight="1" x14ac:dyDescent="0.3">
      <c r="A115" s="284"/>
      <c r="B115" s="284"/>
      <c r="C115" s="464">
        <f>IF(C114=0, B114, C114)</f>
        <v>0.95</v>
      </c>
      <c r="D115" s="464"/>
    </row>
    <row r="116" spans="1:4" ht="15" hidden="1" customHeight="1" x14ac:dyDescent="0.3">
      <c r="A116" s="284"/>
      <c r="B116" s="284"/>
      <c r="C116" s="462"/>
      <c r="D116" s="462"/>
    </row>
    <row r="117" spans="1:4" ht="15" hidden="1" customHeight="1" x14ac:dyDescent="0.3">
      <c r="A117" s="284" t="s">
        <v>262</v>
      </c>
      <c r="B117" s="284"/>
      <c r="C117" s="464">
        <v>0.9</v>
      </c>
      <c r="D117" s="464"/>
    </row>
    <row r="118" spans="1:4" ht="15" hidden="1" customHeight="1" x14ac:dyDescent="0.3">
      <c r="A118" s="284" t="s">
        <v>263</v>
      </c>
      <c r="B118" s="284"/>
      <c r="C118" s="464">
        <v>1</v>
      </c>
      <c r="D118" s="464"/>
    </row>
    <row r="119" spans="1:4" ht="15" hidden="1" customHeight="1" x14ac:dyDescent="0.3">
      <c r="A119" s="284" t="s">
        <v>264</v>
      </c>
      <c r="B119" s="284"/>
      <c r="C119" s="464"/>
      <c r="D119" s="464"/>
    </row>
    <row r="120" spans="1:4" ht="15" hidden="1" customHeight="1" x14ac:dyDescent="0.3">
      <c r="A120" s="284" t="s">
        <v>265</v>
      </c>
      <c r="B120" s="284"/>
      <c r="C120" s="464">
        <v>1.9</v>
      </c>
      <c r="D120" s="464"/>
    </row>
    <row r="121" spans="1:4" ht="15" hidden="1" customHeight="1" x14ac:dyDescent="0.3">
      <c r="A121" s="284" t="s">
        <v>266</v>
      </c>
      <c r="B121" s="284"/>
      <c r="C121" s="464">
        <v>0.2</v>
      </c>
      <c r="D121" s="464"/>
    </row>
    <row r="122" spans="1:4" ht="15" hidden="1" customHeight="1" x14ac:dyDescent="0.3">
      <c r="A122" s="284" t="s">
        <v>267</v>
      </c>
      <c r="B122" s="284"/>
      <c r="C122" s="464">
        <v>1.8</v>
      </c>
      <c r="D122" s="464"/>
    </row>
    <row r="123" spans="1:4" ht="15" hidden="1" customHeight="1" x14ac:dyDescent="0.3">
      <c r="A123" s="284" t="s">
        <v>268</v>
      </c>
      <c r="B123" s="284"/>
      <c r="C123" s="464">
        <v>2.9</v>
      </c>
      <c r="D123" s="464"/>
    </row>
    <row r="124" spans="1:4" ht="15" hidden="1" customHeight="1" x14ac:dyDescent="0.3"/>
    <row r="125" spans="1:4" ht="15" hidden="1" customHeight="1" x14ac:dyDescent="0.3">
      <c r="A125" s="309" t="s">
        <v>328</v>
      </c>
    </row>
    <row r="126" spans="1:4" ht="15" hidden="1" customHeight="1" x14ac:dyDescent="0.3">
      <c r="A126" s="310"/>
      <c r="B126" s="36" t="s">
        <v>256</v>
      </c>
      <c r="C126" s="465" t="s">
        <v>257</v>
      </c>
      <c r="D126" s="465"/>
    </row>
    <row r="127" spans="1:4" ht="15" hidden="1" customHeight="1" x14ac:dyDescent="0.3">
      <c r="A127" s="310" t="s">
        <v>222</v>
      </c>
      <c r="B127" s="187">
        <v>3.3</v>
      </c>
      <c r="C127" s="463">
        <f>IF('5. User defined fertiliser'!E68="Y",B127,)</f>
        <v>0</v>
      </c>
      <c r="D127" s="463"/>
    </row>
    <row r="128" spans="1:4" ht="15" hidden="1" customHeight="1" x14ac:dyDescent="0.3">
      <c r="A128" s="310" t="s">
        <v>223</v>
      </c>
      <c r="B128" s="310">
        <v>8.5</v>
      </c>
      <c r="C128" s="463">
        <f>IF('5. User defined fertiliser'!F68="Y",B128,)</f>
        <v>0</v>
      </c>
      <c r="D128" s="463"/>
    </row>
    <row r="129" spans="1:4" ht="15" hidden="1" customHeight="1" x14ac:dyDescent="0.3">
      <c r="A129" s="310" t="s">
        <v>224</v>
      </c>
      <c r="B129" s="310">
        <v>2.7</v>
      </c>
      <c r="C129" s="463">
        <f>IF('5. User defined fertiliser'!G68="Y",B129,)</f>
        <v>0</v>
      </c>
      <c r="D129" s="463"/>
    </row>
    <row r="130" spans="1:4" ht="15" hidden="1" customHeight="1" x14ac:dyDescent="0.3">
      <c r="A130" s="310" t="s">
        <v>225</v>
      </c>
      <c r="B130" s="310">
        <v>1</v>
      </c>
      <c r="C130" s="463">
        <f>IF('5. User defined fertiliser'!H68="Y",B130,)</f>
        <v>0</v>
      </c>
      <c r="D130" s="463"/>
    </row>
    <row r="131" spans="1:4" ht="15" hidden="1" customHeight="1" x14ac:dyDescent="0.3">
      <c r="A131" s="310" t="s">
        <v>226</v>
      </c>
      <c r="B131" s="310">
        <v>7</v>
      </c>
      <c r="C131" s="463">
        <f>IF('5. User defined fertiliser'!I68="Y",B131,)</f>
        <v>0</v>
      </c>
      <c r="D131" s="463"/>
    </row>
    <row r="132" spans="1:4" ht="15" hidden="1" customHeight="1" x14ac:dyDescent="0.3">
      <c r="A132" s="310" t="s">
        <v>258</v>
      </c>
      <c r="B132" s="310">
        <f>AVERAGE(B127:B131)</f>
        <v>4.5</v>
      </c>
      <c r="C132" s="463">
        <f>SUM(C127:D131)</f>
        <v>0</v>
      </c>
      <c r="D132" s="463"/>
    </row>
    <row r="133" spans="1:4" ht="15" hidden="1" customHeight="1" x14ac:dyDescent="0.3">
      <c r="A133" s="310"/>
      <c r="B133" s="310"/>
      <c r="C133" s="461">
        <f>IF(C132=0, B132, C132)</f>
        <v>4.5</v>
      </c>
      <c r="D133" s="461"/>
    </row>
    <row r="134" spans="1:4" ht="15" hidden="1" customHeight="1" x14ac:dyDescent="0.3">
      <c r="A134" s="310"/>
      <c r="B134" s="310"/>
      <c r="C134" s="462"/>
      <c r="D134" s="462"/>
    </row>
    <row r="135" spans="1:4" ht="15" hidden="1" customHeight="1" x14ac:dyDescent="0.3">
      <c r="A135" s="310" t="s">
        <v>229</v>
      </c>
      <c r="B135" s="310">
        <v>2.7</v>
      </c>
      <c r="C135" s="463">
        <f>IF('5. User defined fertiliser'!E70="Y",B135,)</f>
        <v>0</v>
      </c>
      <c r="D135" s="463"/>
    </row>
    <row r="136" spans="1:4" ht="15" hidden="1" customHeight="1" x14ac:dyDescent="0.3">
      <c r="A136" s="310" t="s">
        <v>230</v>
      </c>
      <c r="B136" s="310">
        <v>2</v>
      </c>
      <c r="C136" s="463">
        <f>IF('5. User defined fertiliser'!F70="Y",B136,)</f>
        <v>0</v>
      </c>
      <c r="D136" s="463"/>
    </row>
    <row r="137" spans="1:4" ht="15" hidden="1" customHeight="1" x14ac:dyDescent="0.3">
      <c r="A137" s="310" t="s">
        <v>259</v>
      </c>
      <c r="B137" s="310">
        <v>0.2</v>
      </c>
      <c r="C137" s="463">
        <f>IF('5. User defined fertiliser'!G70="Y",B137,)</f>
        <v>0</v>
      </c>
      <c r="D137" s="463"/>
    </row>
    <row r="138" spans="1:4" ht="15" hidden="1" customHeight="1" x14ac:dyDescent="0.3">
      <c r="A138" s="310" t="s">
        <v>260</v>
      </c>
      <c r="B138" s="187">
        <f>AVERAGE(B135:B137)</f>
        <v>1.6333333333333335</v>
      </c>
      <c r="C138" s="463">
        <f>SUM(C135:D137)</f>
        <v>0</v>
      </c>
      <c r="D138" s="463"/>
    </row>
    <row r="139" spans="1:4" ht="15" hidden="1" customHeight="1" x14ac:dyDescent="0.3">
      <c r="A139" s="310"/>
      <c r="B139" s="310"/>
      <c r="C139" s="461">
        <f>IF(C138=0, B138, C138)</f>
        <v>1.6333333333333335</v>
      </c>
      <c r="D139" s="461"/>
    </row>
    <row r="140" spans="1:4" ht="15" hidden="1" customHeight="1" x14ac:dyDescent="0.3">
      <c r="A140" s="310"/>
      <c r="B140" s="310"/>
      <c r="C140" s="462"/>
      <c r="D140" s="462"/>
    </row>
    <row r="141" spans="1:4" ht="15" hidden="1" customHeight="1" x14ac:dyDescent="0.3">
      <c r="A141" s="310" t="s">
        <v>234</v>
      </c>
      <c r="B141" s="310">
        <v>0.5</v>
      </c>
      <c r="C141" s="463">
        <f>IF('5. User defined fertiliser'!E72="Y",B141,)</f>
        <v>0</v>
      </c>
      <c r="D141" s="463"/>
    </row>
    <row r="142" spans="1:4" ht="15" hidden="1" customHeight="1" x14ac:dyDescent="0.3">
      <c r="A142" s="310" t="s">
        <v>235</v>
      </c>
      <c r="B142" s="310">
        <v>1.4</v>
      </c>
      <c r="C142" s="463">
        <f>IF('5. User defined fertiliser'!F72="Y",B142,)</f>
        <v>0</v>
      </c>
      <c r="D142" s="463"/>
    </row>
    <row r="143" spans="1:4" ht="15" hidden="1" customHeight="1" x14ac:dyDescent="0.3">
      <c r="A143" s="310" t="s">
        <v>261</v>
      </c>
      <c r="B143" s="187">
        <f>AVERAGE(B141:B142)</f>
        <v>0.95</v>
      </c>
      <c r="C143" s="463">
        <f>SUM(C141:D142)</f>
        <v>0</v>
      </c>
      <c r="D143" s="463"/>
    </row>
    <row r="144" spans="1:4" ht="15" hidden="1" customHeight="1" x14ac:dyDescent="0.3">
      <c r="A144" s="310"/>
      <c r="B144" s="310"/>
      <c r="C144" s="464">
        <f>IF(C143=0, B143, C143)</f>
        <v>0.95</v>
      </c>
      <c r="D144" s="464"/>
    </row>
    <row r="145" spans="1:4" ht="15" hidden="1" customHeight="1" x14ac:dyDescent="0.3">
      <c r="A145" s="310"/>
      <c r="B145" s="310"/>
      <c r="C145" s="462"/>
      <c r="D145" s="462"/>
    </row>
    <row r="146" spans="1:4" ht="15" hidden="1" customHeight="1" x14ac:dyDescent="0.3">
      <c r="A146" s="310" t="s">
        <v>262</v>
      </c>
      <c r="B146" s="310"/>
      <c r="C146" s="464">
        <v>0.9</v>
      </c>
      <c r="D146" s="464"/>
    </row>
    <row r="147" spans="1:4" ht="15" hidden="1" customHeight="1" x14ac:dyDescent="0.3">
      <c r="A147" s="310" t="s">
        <v>263</v>
      </c>
      <c r="B147" s="310"/>
      <c r="C147" s="464">
        <v>1</v>
      </c>
      <c r="D147" s="464"/>
    </row>
    <row r="148" spans="1:4" ht="15" hidden="1" customHeight="1" x14ac:dyDescent="0.3">
      <c r="A148" s="310" t="s">
        <v>264</v>
      </c>
      <c r="B148" s="310"/>
      <c r="C148" s="464"/>
      <c r="D148" s="464"/>
    </row>
    <row r="149" spans="1:4" ht="15" hidden="1" customHeight="1" x14ac:dyDescent="0.3">
      <c r="A149" s="310" t="s">
        <v>265</v>
      </c>
      <c r="B149" s="310"/>
      <c r="C149" s="464">
        <v>1.9</v>
      </c>
      <c r="D149" s="464"/>
    </row>
    <row r="150" spans="1:4" ht="15" hidden="1" customHeight="1" x14ac:dyDescent="0.3">
      <c r="A150" s="310" t="s">
        <v>266</v>
      </c>
      <c r="B150" s="310"/>
      <c r="C150" s="464">
        <v>0.2</v>
      </c>
      <c r="D150" s="464"/>
    </row>
    <row r="151" spans="1:4" ht="15" hidden="1" customHeight="1" x14ac:dyDescent="0.3">
      <c r="A151" s="310" t="s">
        <v>267</v>
      </c>
      <c r="B151" s="310"/>
      <c r="C151" s="464">
        <v>1.8</v>
      </c>
      <c r="D151" s="464"/>
    </row>
    <row r="152" spans="1:4" ht="15" hidden="1" customHeight="1" x14ac:dyDescent="0.3">
      <c r="A152" s="310" t="s">
        <v>268</v>
      </c>
      <c r="B152" s="310"/>
      <c r="C152" s="464">
        <v>2.9</v>
      </c>
      <c r="D152" s="464"/>
    </row>
    <row r="153" spans="1:4" ht="15" hidden="1" customHeight="1" x14ac:dyDescent="0.3"/>
    <row r="154" spans="1:4" ht="15" hidden="1" customHeight="1" x14ac:dyDescent="0.3">
      <c r="A154" s="309" t="s">
        <v>329</v>
      </c>
    </row>
    <row r="155" spans="1:4" ht="15" hidden="1" customHeight="1" x14ac:dyDescent="0.3">
      <c r="A155" s="310"/>
      <c r="B155" s="36" t="s">
        <v>256</v>
      </c>
      <c r="C155" s="465" t="s">
        <v>257</v>
      </c>
      <c r="D155" s="465"/>
    </row>
    <row r="156" spans="1:4" ht="15" hidden="1" customHeight="1" x14ac:dyDescent="0.3">
      <c r="A156" s="310" t="s">
        <v>222</v>
      </c>
      <c r="B156" s="187">
        <v>3.3</v>
      </c>
      <c r="C156" s="463">
        <f>IF('5. User defined fertiliser'!E94="Y",B156,)</f>
        <v>0</v>
      </c>
      <c r="D156" s="463"/>
    </row>
    <row r="157" spans="1:4" ht="15" hidden="1" customHeight="1" x14ac:dyDescent="0.3">
      <c r="A157" s="310" t="s">
        <v>223</v>
      </c>
      <c r="B157" s="310">
        <v>8.5</v>
      </c>
      <c r="C157" s="463">
        <f>IF('5. User defined fertiliser'!F94="Y",B157,)</f>
        <v>0</v>
      </c>
      <c r="D157" s="463"/>
    </row>
    <row r="158" spans="1:4" ht="15" hidden="1" customHeight="1" x14ac:dyDescent="0.3">
      <c r="A158" s="310" t="s">
        <v>224</v>
      </c>
      <c r="B158" s="310">
        <v>2.7</v>
      </c>
      <c r="C158" s="463">
        <f>IF('5. User defined fertiliser'!G94="Y",B158,)</f>
        <v>0</v>
      </c>
      <c r="D158" s="463"/>
    </row>
    <row r="159" spans="1:4" ht="15" hidden="1" customHeight="1" x14ac:dyDescent="0.3">
      <c r="A159" s="310" t="s">
        <v>225</v>
      </c>
      <c r="B159" s="310">
        <v>1</v>
      </c>
      <c r="C159" s="463">
        <f>IF('5. User defined fertiliser'!H94="Y",B159,)</f>
        <v>0</v>
      </c>
      <c r="D159" s="463"/>
    </row>
    <row r="160" spans="1:4" ht="15" hidden="1" customHeight="1" x14ac:dyDescent="0.3">
      <c r="A160" s="310" t="s">
        <v>226</v>
      </c>
      <c r="B160" s="310">
        <v>7</v>
      </c>
      <c r="C160" s="463">
        <f>IF('5. User defined fertiliser'!I94="Y",B160,)</f>
        <v>0</v>
      </c>
      <c r="D160" s="463"/>
    </row>
    <row r="161" spans="1:4" ht="15" hidden="1" customHeight="1" x14ac:dyDescent="0.3">
      <c r="A161" s="310" t="s">
        <v>258</v>
      </c>
      <c r="B161" s="310">
        <f>AVERAGE(B156:B160)</f>
        <v>4.5</v>
      </c>
      <c r="C161" s="463">
        <f>SUM(C156:D160)</f>
        <v>0</v>
      </c>
      <c r="D161" s="463"/>
    </row>
    <row r="162" spans="1:4" ht="15" hidden="1" customHeight="1" x14ac:dyDescent="0.3">
      <c r="A162" s="310"/>
      <c r="B162" s="310"/>
      <c r="C162" s="461">
        <f>IF(C161=0, B161, C161)</f>
        <v>4.5</v>
      </c>
      <c r="D162" s="461"/>
    </row>
    <row r="163" spans="1:4" ht="15" hidden="1" customHeight="1" x14ac:dyDescent="0.3">
      <c r="A163" s="310"/>
      <c r="B163" s="310"/>
      <c r="C163" s="462"/>
      <c r="D163" s="462"/>
    </row>
    <row r="164" spans="1:4" ht="15" hidden="1" customHeight="1" x14ac:dyDescent="0.3">
      <c r="A164" s="310" t="s">
        <v>229</v>
      </c>
      <c r="B164" s="310">
        <v>2.7</v>
      </c>
      <c r="C164" s="463">
        <f>IF('5. User defined fertiliser'!E96="Y",B164,)</f>
        <v>0</v>
      </c>
      <c r="D164" s="463"/>
    </row>
    <row r="165" spans="1:4" ht="15" hidden="1" customHeight="1" x14ac:dyDescent="0.3">
      <c r="A165" s="310" t="s">
        <v>230</v>
      </c>
      <c r="B165" s="310">
        <v>2</v>
      </c>
      <c r="C165" s="463">
        <f>IF('5. User defined fertiliser'!F96="Y",B165,)</f>
        <v>0</v>
      </c>
      <c r="D165" s="463"/>
    </row>
    <row r="166" spans="1:4" ht="15" hidden="1" customHeight="1" x14ac:dyDescent="0.3">
      <c r="A166" s="310" t="s">
        <v>259</v>
      </c>
      <c r="B166" s="310">
        <v>0.2</v>
      </c>
      <c r="C166" s="463">
        <f>IF('5. User defined fertiliser'!G96="Y",B166,)</f>
        <v>0</v>
      </c>
      <c r="D166" s="463"/>
    </row>
    <row r="167" spans="1:4" ht="15" hidden="1" customHeight="1" x14ac:dyDescent="0.3">
      <c r="A167" s="310" t="s">
        <v>260</v>
      </c>
      <c r="B167" s="187">
        <f>AVERAGE(B164:B166)</f>
        <v>1.6333333333333335</v>
      </c>
      <c r="C167" s="463">
        <f>SUM(C164:D166)</f>
        <v>0</v>
      </c>
      <c r="D167" s="463"/>
    </row>
    <row r="168" spans="1:4" ht="15" hidden="1" customHeight="1" x14ac:dyDescent="0.3">
      <c r="A168" s="310"/>
      <c r="B168" s="310"/>
      <c r="C168" s="461">
        <f>IF(C167=0, B167, C167)</f>
        <v>1.6333333333333335</v>
      </c>
      <c r="D168" s="461"/>
    </row>
    <row r="169" spans="1:4" ht="15" hidden="1" customHeight="1" x14ac:dyDescent="0.3">
      <c r="A169" s="310"/>
      <c r="B169" s="310"/>
      <c r="C169" s="462"/>
      <c r="D169" s="462"/>
    </row>
    <row r="170" spans="1:4" ht="15" hidden="1" customHeight="1" x14ac:dyDescent="0.3">
      <c r="A170" s="310" t="s">
        <v>234</v>
      </c>
      <c r="B170" s="310">
        <v>0.5</v>
      </c>
      <c r="C170" s="463">
        <f>IF('5. User defined fertiliser'!E98="Y",B170,)</f>
        <v>0</v>
      </c>
      <c r="D170" s="463"/>
    </row>
    <row r="171" spans="1:4" ht="15" hidden="1" customHeight="1" x14ac:dyDescent="0.3">
      <c r="A171" s="310" t="s">
        <v>235</v>
      </c>
      <c r="B171" s="310">
        <v>1.4</v>
      </c>
      <c r="C171" s="463">
        <f>IF('5. User defined fertiliser'!F98="Y",B171,)</f>
        <v>0</v>
      </c>
      <c r="D171" s="463"/>
    </row>
    <row r="172" spans="1:4" ht="15" hidden="1" customHeight="1" x14ac:dyDescent="0.3">
      <c r="A172" s="310" t="s">
        <v>261</v>
      </c>
      <c r="B172" s="187">
        <f>AVERAGE(B170:B171)</f>
        <v>0.95</v>
      </c>
      <c r="C172" s="463">
        <f>SUM(C170:D171)</f>
        <v>0</v>
      </c>
      <c r="D172" s="463"/>
    </row>
    <row r="173" spans="1:4" ht="15" hidden="1" customHeight="1" x14ac:dyDescent="0.3">
      <c r="A173" s="310"/>
      <c r="B173" s="310"/>
      <c r="C173" s="464">
        <f>IF(C172=0, B172, C172)</f>
        <v>0.95</v>
      </c>
      <c r="D173" s="464"/>
    </row>
    <row r="174" spans="1:4" ht="15" hidden="1" customHeight="1" x14ac:dyDescent="0.3">
      <c r="A174" s="310"/>
      <c r="B174" s="310"/>
      <c r="C174" s="462"/>
      <c r="D174" s="462"/>
    </row>
    <row r="175" spans="1:4" ht="15" hidden="1" customHeight="1" x14ac:dyDescent="0.3">
      <c r="A175" s="310" t="s">
        <v>262</v>
      </c>
      <c r="B175" s="310"/>
      <c r="C175" s="464">
        <v>0.9</v>
      </c>
      <c r="D175" s="464"/>
    </row>
    <row r="176" spans="1:4" ht="15" hidden="1" customHeight="1" x14ac:dyDescent="0.3">
      <c r="A176" s="310" t="s">
        <v>263</v>
      </c>
      <c r="B176" s="310"/>
      <c r="C176" s="464">
        <v>1</v>
      </c>
      <c r="D176" s="464"/>
    </row>
    <row r="177" spans="1:4" ht="15" hidden="1" customHeight="1" x14ac:dyDescent="0.3">
      <c r="A177" s="310" t="s">
        <v>264</v>
      </c>
      <c r="B177" s="310"/>
      <c r="C177" s="464"/>
      <c r="D177" s="464"/>
    </row>
    <row r="178" spans="1:4" ht="15" hidden="1" customHeight="1" x14ac:dyDescent="0.3">
      <c r="A178" s="310" t="s">
        <v>265</v>
      </c>
      <c r="B178" s="310"/>
      <c r="C178" s="464">
        <v>1.9</v>
      </c>
      <c r="D178" s="464"/>
    </row>
    <row r="179" spans="1:4" ht="15" hidden="1" customHeight="1" x14ac:dyDescent="0.3">
      <c r="A179" s="310" t="s">
        <v>266</v>
      </c>
      <c r="B179" s="310"/>
      <c r="C179" s="464">
        <v>0.2</v>
      </c>
      <c r="D179" s="464"/>
    </row>
    <row r="180" spans="1:4" ht="15" hidden="1" customHeight="1" x14ac:dyDescent="0.3">
      <c r="A180" s="310" t="s">
        <v>267</v>
      </c>
      <c r="B180" s="310"/>
      <c r="C180" s="464">
        <v>1.8</v>
      </c>
      <c r="D180" s="464"/>
    </row>
    <row r="181" spans="1:4" ht="15" hidden="1" customHeight="1" x14ac:dyDescent="0.3">
      <c r="A181" s="310" t="s">
        <v>268</v>
      </c>
      <c r="B181" s="310"/>
      <c r="C181" s="464">
        <v>2.9</v>
      </c>
      <c r="D181" s="464"/>
    </row>
    <row r="182" spans="1:4" ht="15" hidden="1" customHeight="1" x14ac:dyDescent="0.3"/>
    <row r="183" spans="1:4" ht="15" hidden="1" customHeight="1" x14ac:dyDescent="0.3">
      <c r="A183" s="309" t="s">
        <v>330</v>
      </c>
    </row>
    <row r="184" spans="1:4" ht="15" hidden="1" customHeight="1" x14ac:dyDescent="0.3">
      <c r="A184" s="310"/>
      <c r="B184" s="36" t="s">
        <v>256</v>
      </c>
      <c r="C184" s="465" t="s">
        <v>257</v>
      </c>
      <c r="D184" s="465"/>
    </row>
    <row r="185" spans="1:4" ht="15" hidden="1" customHeight="1" x14ac:dyDescent="0.3">
      <c r="A185" s="310" t="s">
        <v>222</v>
      </c>
      <c r="B185" s="187">
        <v>3.3</v>
      </c>
      <c r="C185" s="463">
        <f>IF('5. User defined fertiliser'!E120="Y",B185,)</f>
        <v>0</v>
      </c>
      <c r="D185" s="463"/>
    </row>
    <row r="186" spans="1:4" ht="15" hidden="1" customHeight="1" x14ac:dyDescent="0.3">
      <c r="A186" s="310" t="s">
        <v>223</v>
      </c>
      <c r="B186" s="310">
        <v>8.5</v>
      </c>
      <c r="C186" s="463">
        <f>IF('5. User defined fertiliser'!F120="Y",B186,)</f>
        <v>0</v>
      </c>
      <c r="D186" s="463"/>
    </row>
    <row r="187" spans="1:4" ht="15" hidden="1" customHeight="1" x14ac:dyDescent="0.3">
      <c r="A187" s="310" t="s">
        <v>224</v>
      </c>
      <c r="B187" s="310">
        <v>2.7</v>
      </c>
      <c r="C187" s="463">
        <f>IF('5. User defined fertiliser'!G120="Y",B187,)</f>
        <v>0</v>
      </c>
      <c r="D187" s="463"/>
    </row>
    <row r="188" spans="1:4" ht="15" hidden="1" customHeight="1" x14ac:dyDescent="0.3">
      <c r="A188" s="310" t="s">
        <v>225</v>
      </c>
      <c r="B188" s="310">
        <v>1</v>
      </c>
      <c r="C188" s="463">
        <f>IF('5. User defined fertiliser'!H120="Y",B188,)</f>
        <v>0</v>
      </c>
      <c r="D188" s="463"/>
    </row>
    <row r="189" spans="1:4" ht="15" hidden="1" customHeight="1" x14ac:dyDescent="0.3">
      <c r="A189" s="310" t="s">
        <v>226</v>
      </c>
      <c r="B189" s="310">
        <v>7</v>
      </c>
      <c r="C189" s="463">
        <f>IF('5. User defined fertiliser'!I120="Y",B189,)</f>
        <v>0</v>
      </c>
      <c r="D189" s="463"/>
    </row>
    <row r="190" spans="1:4" ht="15" hidden="1" customHeight="1" x14ac:dyDescent="0.3">
      <c r="A190" s="310" t="s">
        <v>258</v>
      </c>
      <c r="B190" s="310">
        <f>AVERAGE(B185:B189)</f>
        <v>4.5</v>
      </c>
      <c r="C190" s="463">
        <f>SUM(C185:D189)</f>
        <v>0</v>
      </c>
      <c r="D190" s="463"/>
    </row>
    <row r="191" spans="1:4" ht="15" hidden="1" customHeight="1" x14ac:dyDescent="0.3">
      <c r="A191" s="310"/>
      <c r="B191" s="310"/>
      <c r="C191" s="461">
        <f>IF(C190=0, B190, C190)</f>
        <v>4.5</v>
      </c>
      <c r="D191" s="461"/>
    </row>
    <row r="192" spans="1:4" ht="15" hidden="1" customHeight="1" x14ac:dyDescent="0.3">
      <c r="A192" s="310"/>
      <c r="B192" s="310"/>
      <c r="C192" s="462"/>
      <c r="D192" s="462"/>
    </row>
    <row r="193" spans="1:4" ht="15" hidden="1" customHeight="1" x14ac:dyDescent="0.3">
      <c r="A193" s="310" t="s">
        <v>229</v>
      </c>
      <c r="B193" s="310">
        <v>2.7</v>
      </c>
      <c r="C193" s="463">
        <f>IF('5. User defined fertiliser'!E122="Y",B193,)</f>
        <v>0</v>
      </c>
      <c r="D193" s="463"/>
    </row>
    <row r="194" spans="1:4" ht="15" hidden="1" customHeight="1" x14ac:dyDescent="0.3">
      <c r="A194" s="310" t="s">
        <v>230</v>
      </c>
      <c r="B194" s="310">
        <v>2</v>
      </c>
      <c r="C194" s="463">
        <f>IF('5. User defined fertiliser'!F122="Y",B194,)</f>
        <v>0</v>
      </c>
      <c r="D194" s="463"/>
    </row>
    <row r="195" spans="1:4" ht="15" hidden="1" customHeight="1" x14ac:dyDescent="0.3">
      <c r="A195" s="310" t="s">
        <v>259</v>
      </c>
      <c r="B195" s="310">
        <v>0.2</v>
      </c>
      <c r="C195" s="463">
        <f>IF('5. User defined fertiliser'!G122="Y",B195,)</f>
        <v>0</v>
      </c>
      <c r="D195" s="463"/>
    </row>
    <row r="196" spans="1:4" ht="15" hidden="1" customHeight="1" x14ac:dyDescent="0.3">
      <c r="A196" s="310" t="s">
        <v>260</v>
      </c>
      <c r="B196" s="187">
        <f>AVERAGE(B193:B195)</f>
        <v>1.6333333333333335</v>
      </c>
      <c r="C196" s="463">
        <f>SUM(C193:D195)</f>
        <v>0</v>
      </c>
      <c r="D196" s="463"/>
    </row>
    <row r="197" spans="1:4" ht="15" hidden="1" customHeight="1" x14ac:dyDescent="0.3">
      <c r="A197" s="310"/>
      <c r="B197" s="310"/>
      <c r="C197" s="461">
        <f>IF(C196=0, B196, C196)</f>
        <v>1.6333333333333335</v>
      </c>
      <c r="D197" s="461"/>
    </row>
    <row r="198" spans="1:4" ht="15" hidden="1" customHeight="1" x14ac:dyDescent="0.3">
      <c r="A198" s="310"/>
      <c r="B198" s="310"/>
      <c r="C198" s="462"/>
      <c r="D198" s="462"/>
    </row>
    <row r="199" spans="1:4" ht="15" hidden="1" customHeight="1" x14ac:dyDescent="0.3">
      <c r="A199" s="310" t="s">
        <v>234</v>
      </c>
      <c r="B199" s="310">
        <v>0.5</v>
      </c>
      <c r="C199" s="463">
        <f>IF('5. User defined fertiliser'!E124="Y",B199,)</f>
        <v>0</v>
      </c>
      <c r="D199" s="463"/>
    </row>
    <row r="200" spans="1:4" ht="15" hidden="1" customHeight="1" x14ac:dyDescent="0.3">
      <c r="A200" s="310" t="s">
        <v>235</v>
      </c>
      <c r="B200" s="310">
        <v>1.4</v>
      </c>
      <c r="C200" s="463">
        <f>IF('5. User defined fertiliser'!F124="Y",B200,)</f>
        <v>0</v>
      </c>
      <c r="D200" s="463"/>
    </row>
    <row r="201" spans="1:4" ht="15" hidden="1" customHeight="1" x14ac:dyDescent="0.3">
      <c r="A201" s="310" t="s">
        <v>261</v>
      </c>
      <c r="B201" s="187">
        <f>AVERAGE(B199:B200)</f>
        <v>0.95</v>
      </c>
      <c r="C201" s="463">
        <f>SUM(C199:D200)</f>
        <v>0</v>
      </c>
      <c r="D201" s="463"/>
    </row>
    <row r="202" spans="1:4" ht="15" hidden="1" customHeight="1" x14ac:dyDescent="0.3">
      <c r="A202" s="310"/>
      <c r="B202" s="310"/>
      <c r="C202" s="464">
        <f>IF(C201=0, B201, C201)</f>
        <v>0.95</v>
      </c>
      <c r="D202" s="464"/>
    </row>
    <row r="203" spans="1:4" ht="15" hidden="1" customHeight="1" x14ac:dyDescent="0.3">
      <c r="A203" s="310"/>
      <c r="B203" s="310"/>
      <c r="C203" s="462"/>
      <c r="D203" s="462"/>
    </row>
    <row r="204" spans="1:4" ht="15" hidden="1" customHeight="1" x14ac:dyDescent="0.3">
      <c r="A204" s="310" t="s">
        <v>262</v>
      </c>
      <c r="B204" s="310"/>
      <c r="C204" s="464">
        <v>0.9</v>
      </c>
      <c r="D204" s="464"/>
    </row>
    <row r="205" spans="1:4" ht="15" hidden="1" customHeight="1" x14ac:dyDescent="0.3">
      <c r="A205" s="310" t="s">
        <v>263</v>
      </c>
      <c r="B205" s="310"/>
      <c r="C205" s="464">
        <v>1</v>
      </c>
      <c r="D205" s="464"/>
    </row>
    <row r="206" spans="1:4" ht="15" hidden="1" customHeight="1" x14ac:dyDescent="0.3">
      <c r="A206" s="310" t="s">
        <v>264</v>
      </c>
      <c r="B206" s="310"/>
      <c r="C206" s="464"/>
      <c r="D206" s="464"/>
    </row>
    <row r="207" spans="1:4" ht="15" hidden="1" customHeight="1" x14ac:dyDescent="0.3">
      <c r="A207" s="310" t="s">
        <v>265</v>
      </c>
      <c r="B207" s="310"/>
      <c r="C207" s="464">
        <v>1.9</v>
      </c>
      <c r="D207" s="464"/>
    </row>
    <row r="208" spans="1:4" ht="15" hidden="1" customHeight="1" x14ac:dyDescent="0.3">
      <c r="A208" s="310" t="s">
        <v>266</v>
      </c>
      <c r="B208" s="310"/>
      <c r="C208" s="464">
        <v>0.2</v>
      </c>
      <c r="D208" s="464"/>
    </row>
    <row r="209" spans="1:4" ht="15" hidden="1" customHeight="1" x14ac:dyDescent="0.3">
      <c r="A209" s="310" t="s">
        <v>267</v>
      </c>
      <c r="B209" s="310"/>
      <c r="C209" s="464">
        <v>1.8</v>
      </c>
      <c r="D209" s="464"/>
    </row>
    <row r="210" spans="1:4" ht="15" hidden="1" customHeight="1" x14ac:dyDescent="0.3">
      <c r="A210" s="310" t="s">
        <v>268</v>
      </c>
      <c r="B210" s="310"/>
      <c r="C210" s="464">
        <v>2.9</v>
      </c>
      <c r="D210" s="464"/>
    </row>
    <row r="211" spans="1:4" ht="15" hidden="1" customHeight="1" x14ac:dyDescent="0.3"/>
    <row r="212" spans="1:4" ht="15" hidden="1" customHeight="1" x14ac:dyDescent="0.3">
      <c r="A212" s="309" t="s">
        <v>408</v>
      </c>
      <c r="B212" s="309"/>
      <c r="C212" s="309"/>
      <c r="D212" s="309"/>
    </row>
    <row r="213" spans="1:4" ht="15" hidden="1" customHeight="1" x14ac:dyDescent="0.3">
      <c r="A213" s="310"/>
      <c r="B213" s="36" t="s">
        <v>256</v>
      </c>
      <c r="C213" s="465" t="s">
        <v>257</v>
      </c>
      <c r="D213" s="465"/>
    </row>
    <row r="214" spans="1:4" ht="15" hidden="1" customHeight="1" x14ac:dyDescent="0.3">
      <c r="A214" s="310" t="s">
        <v>222</v>
      </c>
      <c r="B214" s="187">
        <v>3.3</v>
      </c>
      <c r="C214" s="463">
        <f>IF('5. User defined fertiliser'!E146="Y",B214,)</f>
        <v>0</v>
      </c>
      <c r="D214" s="463"/>
    </row>
    <row r="215" spans="1:4" ht="15" hidden="1" customHeight="1" x14ac:dyDescent="0.3">
      <c r="A215" s="310" t="s">
        <v>223</v>
      </c>
      <c r="B215" s="310">
        <v>8.5</v>
      </c>
      <c r="C215" s="463">
        <f>IF('5. User defined fertiliser'!F146="Y",B215,)</f>
        <v>0</v>
      </c>
      <c r="D215" s="463"/>
    </row>
    <row r="216" spans="1:4" ht="15" hidden="1" customHeight="1" x14ac:dyDescent="0.3">
      <c r="A216" s="310" t="s">
        <v>224</v>
      </c>
      <c r="B216" s="310">
        <v>2.7</v>
      </c>
      <c r="C216" s="463">
        <f>IF('5. User defined fertiliser'!G146="Y",B216,)</f>
        <v>0</v>
      </c>
      <c r="D216" s="463"/>
    </row>
    <row r="217" spans="1:4" ht="15" hidden="1" customHeight="1" x14ac:dyDescent="0.3">
      <c r="A217" s="310" t="s">
        <v>225</v>
      </c>
      <c r="B217" s="310">
        <v>1</v>
      </c>
      <c r="C217" s="463">
        <f>IF('5. User defined fertiliser'!H146="Y",B217,)</f>
        <v>0</v>
      </c>
      <c r="D217" s="463"/>
    </row>
    <row r="218" spans="1:4" ht="15" hidden="1" customHeight="1" x14ac:dyDescent="0.3">
      <c r="A218" s="310" t="s">
        <v>226</v>
      </c>
      <c r="B218" s="310">
        <v>7</v>
      </c>
      <c r="C218" s="463">
        <f>IF('5. User defined fertiliser'!I146="Y",B218,)</f>
        <v>0</v>
      </c>
      <c r="D218" s="463"/>
    </row>
    <row r="219" spans="1:4" ht="15" hidden="1" customHeight="1" x14ac:dyDescent="0.3">
      <c r="A219" s="310" t="s">
        <v>258</v>
      </c>
      <c r="B219" s="310">
        <f>AVERAGE(B214:B218)</f>
        <v>4.5</v>
      </c>
      <c r="C219" s="463">
        <f>SUM(C214:D218)</f>
        <v>0</v>
      </c>
      <c r="D219" s="463"/>
    </row>
    <row r="220" spans="1:4" ht="15" hidden="1" customHeight="1" x14ac:dyDescent="0.3">
      <c r="A220" s="310"/>
      <c r="B220" s="310"/>
      <c r="C220" s="461">
        <f>IF(C219=0, B219, C219)</f>
        <v>4.5</v>
      </c>
      <c r="D220" s="461"/>
    </row>
    <row r="221" spans="1:4" ht="15" hidden="1" customHeight="1" x14ac:dyDescent="0.3">
      <c r="A221" s="310"/>
      <c r="B221" s="310"/>
      <c r="C221" s="462"/>
      <c r="D221" s="462"/>
    </row>
    <row r="222" spans="1:4" ht="15" hidden="1" customHeight="1" x14ac:dyDescent="0.3">
      <c r="A222" s="310" t="s">
        <v>229</v>
      </c>
      <c r="B222" s="310">
        <v>2.7</v>
      </c>
      <c r="C222" s="463">
        <f>IF('5. User defined fertiliser'!E148="Y",B222,)</f>
        <v>0</v>
      </c>
      <c r="D222" s="463"/>
    </row>
    <row r="223" spans="1:4" ht="15" hidden="1" customHeight="1" x14ac:dyDescent="0.3">
      <c r="A223" s="310" t="s">
        <v>230</v>
      </c>
      <c r="B223" s="310">
        <v>2</v>
      </c>
      <c r="C223" s="463">
        <f>IF('5. User defined fertiliser'!F148="Y",B223,)</f>
        <v>0</v>
      </c>
      <c r="D223" s="463"/>
    </row>
    <row r="224" spans="1:4" ht="15" hidden="1" customHeight="1" x14ac:dyDescent="0.3">
      <c r="A224" s="310" t="s">
        <v>259</v>
      </c>
      <c r="B224" s="310">
        <v>0.2</v>
      </c>
      <c r="C224" s="463">
        <f>IF('5. User defined fertiliser'!G148="Y",B224,)</f>
        <v>0</v>
      </c>
      <c r="D224" s="463"/>
    </row>
    <row r="225" spans="1:4" ht="15" hidden="1" customHeight="1" x14ac:dyDescent="0.3">
      <c r="A225" s="310" t="s">
        <v>260</v>
      </c>
      <c r="B225" s="187">
        <f>AVERAGE(B222:B224)</f>
        <v>1.6333333333333335</v>
      </c>
      <c r="C225" s="463">
        <f>SUM(C222:D224)</f>
        <v>0</v>
      </c>
      <c r="D225" s="463"/>
    </row>
    <row r="226" spans="1:4" ht="15" hidden="1" customHeight="1" x14ac:dyDescent="0.3">
      <c r="A226" s="310"/>
      <c r="B226" s="310"/>
      <c r="C226" s="461">
        <f>IF(C225=0, B225, C225)</f>
        <v>1.6333333333333335</v>
      </c>
      <c r="D226" s="461"/>
    </row>
    <row r="227" spans="1:4" ht="15" hidden="1" customHeight="1" x14ac:dyDescent="0.3">
      <c r="A227" s="310"/>
      <c r="B227" s="310"/>
      <c r="C227" s="462"/>
      <c r="D227" s="462"/>
    </row>
    <row r="228" spans="1:4" ht="15" hidden="1" customHeight="1" x14ac:dyDescent="0.3">
      <c r="A228" s="310" t="s">
        <v>234</v>
      </c>
      <c r="B228" s="310">
        <v>0.5</v>
      </c>
      <c r="C228" s="463">
        <f>IF('5. User defined fertiliser'!E150="Y",B228,)</f>
        <v>0</v>
      </c>
      <c r="D228" s="463"/>
    </row>
    <row r="229" spans="1:4" ht="15" hidden="1" customHeight="1" x14ac:dyDescent="0.3">
      <c r="A229" s="310" t="s">
        <v>235</v>
      </c>
      <c r="B229" s="310">
        <v>1.4</v>
      </c>
      <c r="C229" s="463">
        <f>IF('5. User defined fertiliser'!F150="Y",B229,)</f>
        <v>0</v>
      </c>
      <c r="D229" s="463"/>
    </row>
    <row r="230" spans="1:4" ht="15" hidden="1" customHeight="1" x14ac:dyDescent="0.3">
      <c r="A230" s="310" t="s">
        <v>261</v>
      </c>
      <c r="B230" s="187">
        <f>AVERAGE(B228:B229)</f>
        <v>0.95</v>
      </c>
      <c r="C230" s="463">
        <f>SUM(C228:D229)</f>
        <v>0</v>
      </c>
      <c r="D230" s="463"/>
    </row>
    <row r="231" spans="1:4" ht="15" hidden="1" customHeight="1" x14ac:dyDescent="0.3">
      <c r="A231" s="310"/>
      <c r="B231" s="310"/>
      <c r="C231" s="464">
        <f>IF(C230=0, B230, C230)</f>
        <v>0.95</v>
      </c>
      <c r="D231" s="464"/>
    </row>
    <row r="232" spans="1:4" ht="15" hidden="1" customHeight="1" x14ac:dyDescent="0.3">
      <c r="A232" s="310"/>
      <c r="B232" s="310"/>
      <c r="C232" s="462"/>
      <c r="D232" s="462"/>
    </row>
    <row r="233" spans="1:4" ht="15" hidden="1" customHeight="1" x14ac:dyDescent="0.3">
      <c r="A233" s="310" t="s">
        <v>262</v>
      </c>
      <c r="B233" s="310"/>
      <c r="C233" s="464">
        <v>0.9</v>
      </c>
      <c r="D233" s="464"/>
    </row>
    <row r="234" spans="1:4" ht="15" hidden="1" customHeight="1" x14ac:dyDescent="0.3">
      <c r="A234" s="310" t="s">
        <v>263</v>
      </c>
      <c r="B234" s="310"/>
      <c r="C234" s="464">
        <v>1</v>
      </c>
      <c r="D234" s="464"/>
    </row>
    <row r="235" spans="1:4" ht="15" hidden="1" customHeight="1" x14ac:dyDescent="0.3">
      <c r="A235" s="310" t="s">
        <v>264</v>
      </c>
      <c r="B235" s="310"/>
      <c r="C235" s="464"/>
      <c r="D235" s="464"/>
    </row>
    <row r="236" spans="1:4" ht="15" hidden="1" customHeight="1" x14ac:dyDescent="0.3">
      <c r="A236" s="310" t="s">
        <v>265</v>
      </c>
      <c r="B236" s="310"/>
      <c r="C236" s="464">
        <v>1.9</v>
      </c>
      <c r="D236" s="464"/>
    </row>
    <row r="237" spans="1:4" ht="15" hidden="1" customHeight="1" x14ac:dyDescent="0.3">
      <c r="A237" s="310" t="s">
        <v>266</v>
      </c>
      <c r="B237" s="310"/>
      <c r="C237" s="464">
        <v>0.2</v>
      </c>
      <c r="D237" s="464"/>
    </row>
    <row r="238" spans="1:4" ht="15" hidden="1" customHeight="1" x14ac:dyDescent="0.3">
      <c r="A238" s="310" t="s">
        <v>267</v>
      </c>
      <c r="B238" s="310"/>
      <c r="C238" s="464">
        <v>1.8</v>
      </c>
      <c r="D238" s="464"/>
    </row>
    <row r="239" spans="1:4" ht="15" hidden="1" customHeight="1" x14ac:dyDescent="0.3">
      <c r="A239" s="310" t="s">
        <v>268</v>
      </c>
      <c r="B239" s="310"/>
      <c r="C239" s="464">
        <v>2.9</v>
      </c>
      <c r="D239" s="464"/>
    </row>
    <row r="240" spans="1:4" ht="15" hidden="1" customHeight="1" x14ac:dyDescent="0.3"/>
    <row r="241" spans="1:4" ht="15" hidden="1" customHeight="1" x14ac:dyDescent="0.3">
      <c r="A241" s="309" t="s">
        <v>409</v>
      </c>
      <c r="B241" s="309"/>
      <c r="C241" s="309"/>
      <c r="D241" s="309"/>
    </row>
    <row r="242" spans="1:4" ht="15" hidden="1" customHeight="1" x14ac:dyDescent="0.3">
      <c r="A242" s="310"/>
      <c r="B242" s="36" t="s">
        <v>256</v>
      </c>
      <c r="C242" s="465" t="s">
        <v>257</v>
      </c>
      <c r="D242" s="465"/>
    </row>
    <row r="243" spans="1:4" ht="15" hidden="1" customHeight="1" x14ac:dyDescent="0.3">
      <c r="A243" s="310" t="s">
        <v>222</v>
      </c>
      <c r="B243" s="187">
        <v>3.3</v>
      </c>
      <c r="C243" s="463">
        <f>IF('5. User defined fertiliser'!E172="Y",B243,)</f>
        <v>0</v>
      </c>
      <c r="D243" s="463"/>
    </row>
    <row r="244" spans="1:4" ht="15" hidden="1" customHeight="1" x14ac:dyDescent="0.3">
      <c r="A244" s="310" t="s">
        <v>223</v>
      </c>
      <c r="B244" s="310">
        <v>8.5</v>
      </c>
      <c r="C244" s="463">
        <f>IF('5. User defined fertiliser'!F172="Y",B244,)</f>
        <v>0</v>
      </c>
      <c r="D244" s="463"/>
    </row>
    <row r="245" spans="1:4" ht="15" hidden="1" customHeight="1" x14ac:dyDescent="0.3">
      <c r="A245" s="310" t="s">
        <v>224</v>
      </c>
      <c r="B245" s="310">
        <v>2.7</v>
      </c>
      <c r="C245" s="463">
        <f>IF('5. User defined fertiliser'!G172="Y",B245,)</f>
        <v>0</v>
      </c>
      <c r="D245" s="463"/>
    </row>
    <row r="246" spans="1:4" ht="15" hidden="1" customHeight="1" x14ac:dyDescent="0.3">
      <c r="A246" s="310" t="s">
        <v>225</v>
      </c>
      <c r="B246" s="310">
        <v>1</v>
      </c>
      <c r="C246" s="463">
        <f>IF('5. User defined fertiliser'!H172="Y",B246,)</f>
        <v>0</v>
      </c>
      <c r="D246" s="463"/>
    </row>
    <row r="247" spans="1:4" ht="15" hidden="1" customHeight="1" x14ac:dyDescent="0.3">
      <c r="A247" s="310" t="s">
        <v>226</v>
      </c>
      <c r="B247" s="310">
        <v>7</v>
      </c>
      <c r="C247" s="463">
        <f>IF('5. User defined fertiliser'!I172="Y",B247,)</f>
        <v>0</v>
      </c>
      <c r="D247" s="463"/>
    </row>
    <row r="248" spans="1:4" ht="15" hidden="1" customHeight="1" x14ac:dyDescent="0.3">
      <c r="A248" s="310" t="s">
        <v>258</v>
      </c>
      <c r="B248" s="310">
        <f>AVERAGE(B243:B247)</f>
        <v>4.5</v>
      </c>
      <c r="C248" s="463">
        <f>SUM(C243:D247)</f>
        <v>0</v>
      </c>
      <c r="D248" s="463"/>
    </row>
    <row r="249" spans="1:4" ht="15" hidden="1" customHeight="1" x14ac:dyDescent="0.3">
      <c r="A249" s="310"/>
      <c r="B249" s="310"/>
      <c r="C249" s="461">
        <f>IF(C248=0, B248, C248)</f>
        <v>4.5</v>
      </c>
      <c r="D249" s="461"/>
    </row>
    <row r="250" spans="1:4" ht="15" hidden="1" customHeight="1" x14ac:dyDescent="0.3">
      <c r="A250" s="310"/>
      <c r="B250" s="310"/>
      <c r="C250" s="462"/>
      <c r="D250" s="462"/>
    </row>
    <row r="251" spans="1:4" ht="15" hidden="1" customHeight="1" x14ac:dyDescent="0.3">
      <c r="A251" s="310" t="s">
        <v>229</v>
      </c>
      <c r="B251" s="310">
        <v>2.7</v>
      </c>
      <c r="C251" s="463">
        <f>IF('5. User defined fertiliser'!E174="Y",B251,)</f>
        <v>0</v>
      </c>
      <c r="D251" s="463"/>
    </row>
    <row r="252" spans="1:4" ht="15" hidden="1" customHeight="1" x14ac:dyDescent="0.3">
      <c r="A252" s="310" t="s">
        <v>230</v>
      </c>
      <c r="B252" s="310">
        <v>2</v>
      </c>
      <c r="C252" s="463">
        <f>IF('5. User defined fertiliser'!F174="Y",B252,)</f>
        <v>0</v>
      </c>
      <c r="D252" s="463"/>
    </row>
    <row r="253" spans="1:4" ht="15" hidden="1" customHeight="1" x14ac:dyDescent="0.3">
      <c r="A253" s="310" t="s">
        <v>259</v>
      </c>
      <c r="B253" s="310">
        <v>0.2</v>
      </c>
      <c r="C253" s="463">
        <f>IF('5. User defined fertiliser'!G174="Y",B253,)</f>
        <v>0</v>
      </c>
      <c r="D253" s="463"/>
    </row>
    <row r="254" spans="1:4" ht="15" hidden="1" customHeight="1" x14ac:dyDescent="0.3">
      <c r="A254" s="310" t="s">
        <v>260</v>
      </c>
      <c r="B254" s="187">
        <f>AVERAGE(B251:B253)</f>
        <v>1.6333333333333335</v>
      </c>
      <c r="C254" s="463">
        <f>SUM(C251:D253)</f>
        <v>0</v>
      </c>
      <c r="D254" s="463"/>
    </row>
    <row r="255" spans="1:4" ht="15" hidden="1" customHeight="1" x14ac:dyDescent="0.3">
      <c r="A255" s="310"/>
      <c r="B255" s="310"/>
      <c r="C255" s="461">
        <f>IF(C254=0, B254, C254)</f>
        <v>1.6333333333333335</v>
      </c>
      <c r="D255" s="461"/>
    </row>
    <row r="256" spans="1:4" ht="15" hidden="1" customHeight="1" x14ac:dyDescent="0.3">
      <c r="A256" s="310"/>
      <c r="B256" s="310"/>
      <c r="C256" s="462"/>
      <c r="D256" s="462"/>
    </row>
    <row r="257" spans="1:4" ht="15" hidden="1" customHeight="1" x14ac:dyDescent="0.3">
      <c r="A257" s="310" t="s">
        <v>234</v>
      </c>
      <c r="B257" s="310">
        <v>0.5</v>
      </c>
      <c r="C257" s="463">
        <f>IF('5. User defined fertiliser'!E176="Y",B257,)</f>
        <v>0</v>
      </c>
      <c r="D257" s="463"/>
    </row>
    <row r="258" spans="1:4" ht="15" hidden="1" customHeight="1" x14ac:dyDescent="0.3">
      <c r="A258" s="310" t="s">
        <v>235</v>
      </c>
      <c r="B258" s="310">
        <v>1.4</v>
      </c>
      <c r="C258" s="463">
        <f>IF('5. User defined fertiliser'!F176="Y",B258,)</f>
        <v>0</v>
      </c>
      <c r="D258" s="463"/>
    </row>
    <row r="259" spans="1:4" ht="15" hidden="1" customHeight="1" x14ac:dyDescent="0.3">
      <c r="A259" s="310" t="s">
        <v>261</v>
      </c>
      <c r="B259" s="187">
        <f>AVERAGE(B257:B258)</f>
        <v>0.95</v>
      </c>
      <c r="C259" s="463">
        <f>SUM(C257:D258)</f>
        <v>0</v>
      </c>
      <c r="D259" s="463"/>
    </row>
    <row r="260" spans="1:4" ht="15" hidden="1" customHeight="1" x14ac:dyDescent="0.3">
      <c r="A260" s="310"/>
      <c r="B260" s="310"/>
      <c r="C260" s="464">
        <f>IF(C259=0, B259, C259)</f>
        <v>0.95</v>
      </c>
      <c r="D260" s="464"/>
    </row>
    <row r="261" spans="1:4" ht="15" hidden="1" customHeight="1" x14ac:dyDescent="0.3">
      <c r="A261" s="310"/>
      <c r="B261" s="310"/>
      <c r="C261" s="462"/>
      <c r="D261" s="462"/>
    </row>
    <row r="262" spans="1:4" ht="15" hidden="1" customHeight="1" x14ac:dyDescent="0.3">
      <c r="A262" s="310" t="s">
        <v>262</v>
      </c>
      <c r="B262" s="310"/>
      <c r="C262" s="464">
        <v>0.9</v>
      </c>
      <c r="D262" s="464"/>
    </row>
    <row r="263" spans="1:4" ht="15" hidden="1" customHeight="1" x14ac:dyDescent="0.3">
      <c r="A263" s="310" t="s">
        <v>263</v>
      </c>
      <c r="B263" s="310"/>
      <c r="C263" s="464">
        <v>1</v>
      </c>
      <c r="D263" s="464"/>
    </row>
    <row r="264" spans="1:4" ht="15" hidden="1" customHeight="1" x14ac:dyDescent="0.3">
      <c r="A264" s="310" t="s">
        <v>264</v>
      </c>
      <c r="B264" s="310"/>
      <c r="C264" s="464"/>
      <c r="D264" s="464"/>
    </row>
    <row r="265" spans="1:4" ht="15" hidden="1" customHeight="1" x14ac:dyDescent="0.3">
      <c r="A265" s="310" t="s">
        <v>265</v>
      </c>
      <c r="B265" s="310"/>
      <c r="C265" s="464">
        <v>1.9</v>
      </c>
      <c r="D265" s="464"/>
    </row>
    <row r="266" spans="1:4" ht="15" hidden="1" customHeight="1" x14ac:dyDescent="0.3">
      <c r="A266" s="310" t="s">
        <v>266</v>
      </c>
      <c r="B266" s="310"/>
      <c r="C266" s="464">
        <v>0.2</v>
      </c>
      <c r="D266" s="464"/>
    </row>
    <row r="267" spans="1:4" ht="15" hidden="1" customHeight="1" x14ac:dyDescent="0.3">
      <c r="A267" s="310" t="s">
        <v>267</v>
      </c>
      <c r="B267" s="310"/>
      <c r="C267" s="464">
        <v>1.8</v>
      </c>
      <c r="D267" s="464"/>
    </row>
    <row r="268" spans="1:4" ht="15" hidden="1" customHeight="1" x14ac:dyDescent="0.3">
      <c r="A268" s="310" t="s">
        <v>268</v>
      </c>
      <c r="B268" s="310"/>
      <c r="C268" s="464">
        <v>2.9</v>
      </c>
      <c r="D268" s="464"/>
    </row>
    <row r="269" spans="1:4" ht="15" hidden="1" customHeight="1" x14ac:dyDescent="0.3"/>
    <row r="270" spans="1:4" ht="15" hidden="1" customHeight="1" x14ac:dyDescent="0.3">
      <c r="A270" s="309" t="s">
        <v>410</v>
      </c>
      <c r="B270" s="309"/>
      <c r="C270" s="309"/>
      <c r="D270" s="309"/>
    </row>
    <row r="271" spans="1:4" ht="15" hidden="1" customHeight="1" x14ac:dyDescent="0.3">
      <c r="A271" s="310"/>
      <c r="B271" s="36" t="s">
        <v>256</v>
      </c>
      <c r="C271" s="465" t="s">
        <v>257</v>
      </c>
      <c r="D271" s="465"/>
    </row>
    <row r="272" spans="1:4" ht="15" hidden="1" customHeight="1" x14ac:dyDescent="0.3">
      <c r="A272" s="310" t="s">
        <v>222</v>
      </c>
      <c r="B272" s="187">
        <v>3.3</v>
      </c>
      <c r="C272" s="463">
        <f>IF('5. User defined fertiliser'!E198="Y",B272,)</f>
        <v>0</v>
      </c>
      <c r="D272" s="463"/>
    </row>
    <row r="273" spans="1:4" ht="15" hidden="1" customHeight="1" x14ac:dyDescent="0.3">
      <c r="A273" s="310" t="s">
        <v>223</v>
      </c>
      <c r="B273" s="310">
        <v>8.5</v>
      </c>
      <c r="C273" s="463">
        <f>IF('5. User defined fertiliser'!F198="Y",B273,)</f>
        <v>0</v>
      </c>
      <c r="D273" s="463"/>
    </row>
    <row r="274" spans="1:4" ht="15" hidden="1" customHeight="1" x14ac:dyDescent="0.3">
      <c r="A274" s="310" t="s">
        <v>224</v>
      </c>
      <c r="B274" s="310">
        <v>2.7</v>
      </c>
      <c r="C274" s="463">
        <f>IF('5. User defined fertiliser'!G198="Y",B274,)</f>
        <v>0</v>
      </c>
      <c r="D274" s="463"/>
    </row>
    <row r="275" spans="1:4" ht="15" hidden="1" customHeight="1" x14ac:dyDescent="0.3">
      <c r="A275" s="310" t="s">
        <v>225</v>
      </c>
      <c r="B275" s="310">
        <v>1</v>
      </c>
      <c r="C275" s="463">
        <f>IF('5. User defined fertiliser'!H198="Y",B275,)</f>
        <v>0</v>
      </c>
      <c r="D275" s="463"/>
    </row>
    <row r="276" spans="1:4" ht="15" hidden="1" customHeight="1" x14ac:dyDescent="0.3">
      <c r="A276" s="310" t="s">
        <v>226</v>
      </c>
      <c r="B276" s="310">
        <v>7</v>
      </c>
      <c r="C276" s="463">
        <f>IF('5. User defined fertiliser'!I198="Y",B276,)</f>
        <v>0</v>
      </c>
      <c r="D276" s="463"/>
    </row>
    <row r="277" spans="1:4" ht="15" hidden="1" customHeight="1" x14ac:dyDescent="0.3">
      <c r="A277" s="310" t="s">
        <v>258</v>
      </c>
      <c r="B277" s="310">
        <f>AVERAGE(B272:B276)</f>
        <v>4.5</v>
      </c>
      <c r="C277" s="463">
        <f>SUM(C272:D276)</f>
        <v>0</v>
      </c>
      <c r="D277" s="463"/>
    </row>
    <row r="278" spans="1:4" ht="15" hidden="1" customHeight="1" x14ac:dyDescent="0.3">
      <c r="A278" s="310"/>
      <c r="B278" s="310"/>
      <c r="C278" s="461">
        <f>IF(C277=0, B277, C277)</f>
        <v>4.5</v>
      </c>
      <c r="D278" s="461"/>
    </row>
    <row r="279" spans="1:4" ht="15" hidden="1" customHeight="1" x14ac:dyDescent="0.3">
      <c r="A279" s="310"/>
      <c r="B279" s="310"/>
      <c r="C279" s="462"/>
      <c r="D279" s="462"/>
    </row>
    <row r="280" spans="1:4" ht="15" hidden="1" customHeight="1" x14ac:dyDescent="0.3">
      <c r="A280" s="310" t="s">
        <v>229</v>
      </c>
      <c r="B280" s="310">
        <v>2.7</v>
      </c>
      <c r="C280" s="463">
        <f>IF('5. User defined fertiliser'!E200="Y",B280,)</f>
        <v>0</v>
      </c>
      <c r="D280" s="463"/>
    </row>
    <row r="281" spans="1:4" ht="15" hidden="1" customHeight="1" x14ac:dyDescent="0.3">
      <c r="A281" s="310" t="s">
        <v>230</v>
      </c>
      <c r="B281" s="310">
        <v>2</v>
      </c>
      <c r="C281" s="463">
        <f>IF('5. User defined fertiliser'!F200="Y",B281,)</f>
        <v>0</v>
      </c>
      <c r="D281" s="463"/>
    </row>
    <row r="282" spans="1:4" ht="15" hidden="1" customHeight="1" x14ac:dyDescent="0.3">
      <c r="A282" s="310" t="s">
        <v>259</v>
      </c>
      <c r="B282" s="310">
        <v>0.2</v>
      </c>
      <c r="C282" s="463">
        <f>IF('5. User defined fertiliser'!G200="Y",B282,)</f>
        <v>0</v>
      </c>
      <c r="D282" s="463"/>
    </row>
    <row r="283" spans="1:4" ht="15" hidden="1" customHeight="1" x14ac:dyDescent="0.3">
      <c r="A283" s="310" t="s">
        <v>260</v>
      </c>
      <c r="B283" s="187">
        <f>AVERAGE(B280:B282)</f>
        <v>1.6333333333333335</v>
      </c>
      <c r="C283" s="463">
        <f>SUM(C280:D282)</f>
        <v>0</v>
      </c>
      <c r="D283" s="463"/>
    </row>
    <row r="284" spans="1:4" ht="15" hidden="1" customHeight="1" x14ac:dyDescent="0.3">
      <c r="A284" s="310"/>
      <c r="B284" s="310"/>
      <c r="C284" s="461">
        <f>IF(C283=0, B283, C283)</f>
        <v>1.6333333333333335</v>
      </c>
      <c r="D284" s="461"/>
    </row>
    <row r="285" spans="1:4" ht="15" hidden="1" customHeight="1" x14ac:dyDescent="0.3">
      <c r="A285" s="310"/>
      <c r="B285" s="310"/>
      <c r="C285" s="462"/>
      <c r="D285" s="462"/>
    </row>
    <row r="286" spans="1:4" ht="15" hidden="1" customHeight="1" x14ac:dyDescent="0.3">
      <c r="A286" s="310" t="s">
        <v>234</v>
      </c>
      <c r="B286" s="310">
        <v>0.5</v>
      </c>
      <c r="C286" s="463">
        <f>IF('5. User defined fertiliser'!E202="Y",B286,)</f>
        <v>0</v>
      </c>
      <c r="D286" s="463"/>
    </row>
    <row r="287" spans="1:4" ht="15" hidden="1" customHeight="1" x14ac:dyDescent="0.3">
      <c r="A287" s="310" t="s">
        <v>235</v>
      </c>
      <c r="B287" s="310">
        <v>1.4</v>
      </c>
      <c r="C287" s="463">
        <f>IF('5. User defined fertiliser'!F202="Y",B287,)</f>
        <v>0</v>
      </c>
      <c r="D287" s="463"/>
    </row>
    <row r="288" spans="1:4" ht="15" hidden="1" customHeight="1" x14ac:dyDescent="0.3">
      <c r="A288" s="310" t="s">
        <v>261</v>
      </c>
      <c r="B288" s="187">
        <f>AVERAGE(B286:B287)</f>
        <v>0.95</v>
      </c>
      <c r="C288" s="463">
        <f>SUM(C286:D287)</f>
        <v>0</v>
      </c>
      <c r="D288" s="463"/>
    </row>
    <row r="289" spans="1:4" ht="15" hidden="1" customHeight="1" x14ac:dyDescent="0.3">
      <c r="A289" s="310"/>
      <c r="B289" s="310"/>
      <c r="C289" s="464">
        <f>IF(C288=0, B288, C288)</f>
        <v>0.95</v>
      </c>
      <c r="D289" s="464"/>
    </row>
    <row r="290" spans="1:4" ht="15" hidden="1" customHeight="1" x14ac:dyDescent="0.3">
      <c r="A290" s="310"/>
      <c r="B290" s="310"/>
      <c r="C290" s="462"/>
      <c r="D290" s="462"/>
    </row>
    <row r="291" spans="1:4" ht="15" hidden="1" customHeight="1" x14ac:dyDescent="0.3">
      <c r="A291" s="310" t="s">
        <v>262</v>
      </c>
      <c r="B291" s="310"/>
      <c r="C291" s="464">
        <v>0.9</v>
      </c>
      <c r="D291" s="464"/>
    </row>
    <row r="292" spans="1:4" ht="15" hidden="1" customHeight="1" x14ac:dyDescent="0.3">
      <c r="A292" s="310" t="s">
        <v>263</v>
      </c>
      <c r="B292" s="310"/>
      <c r="C292" s="464">
        <v>1</v>
      </c>
      <c r="D292" s="464"/>
    </row>
    <row r="293" spans="1:4" ht="15" hidden="1" customHeight="1" x14ac:dyDescent="0.3">
      <c r="A293" s="310" t="s">
        <v>264</v>
      </c>
      <c r="B293" s="310"/>
      <c r="C293" s="464"/>
      <c r="D293" s="464"/>
    </row>
    <row r="294" spans="1:4" ht="15" hidden="1" customHeight="1" x14ac:dyDescent="0.3">
      <c r="A294" s="310" t="s">
        <v>265</v>
      </c>
      <c r="B294" s="310"/>
      <c r="C294" s="464">
        <v>1.9</v>
      </c>
      <c r="D294" s="464"/>
    </row>
    <row r="295" spans="1:4" ht="15" hidden="1" customHeight="1" x14ac:dyDescent="0.3">
      <c r="A295" s="310" t="s">
        <v>266</v>
      </c>
      <c r="B295" s="310"/>
      <c r="C295" s="464">
        <v>0.2</v>
      </c>
      <c r="D295" s="464"/>
    </row>
    <row r="296" spans="1:4" ht="15" hidden="1" customHeight="1" x14ac:dyDescent="0.3">
      <c r="A296" s="310" t="s">
        <v>267</v>
      </c>
      <c r="B296" s="310"/>
      <c r="C296" s="464">
        <v>1.8</v>
      </c>
      <c r="D296" s="464"/>
    </row>
    <row r="297" spans="1:4" ht="15" hidden="1" customHeight="1" x14ac:dyDescent="0.3">
      <c r="A297" s="310" t="s">
        <v>268</v>
      </c>
      <c r="B297" s="310"/>
      <c r="C297" s="464">
        <v>2.9</v>
      </c>
      <c r="D297" s="464"/>
    </row>
    <row r="298" spans="1:4" ht="15" hidden="1" customHeight="1" x14ac:dyDescent="0.3"/>
    <row r="299" spans="1:4" ht="15" hidden="1" customHeight="1" x14ac:dyDescent="0.3">
      <c r="A299" s="309" t="s">
        <v>411</v>
      </c>
      <c r="B299" s="309"/>
      <c r="C299" s="309"/>
      <c r="D299" s="309"/>
    </row>
    <row r="300" spans="1:4" ht="15" hidden="1" customHeight="1" x14ac:dyDescent="0.3">
      <c r="A300" s="310"/>
      <c r="B300" s="36" t="s">
        <v>256</v>
      </c>
      <c r="C300" s="465" t="s">
        <v>257</v>
      </c>
      <c r="D300" s="465"/>
    </row>
    <row r="301" spans="1:4" ht="15" hidden="1" customHeight="1" x14ac:dyDescent="0.3">
      <c r="A301" s="310" t="s">
        <v>222</v>
      </c>
      <c r="B301" s="187">
        <v>3.3</v>
      </c>
      <c r="C301" s="463">
        <f>IF('5. User defined fertiliser'!E224="Y",B301,)</f>
        <v>0</v>
      </c>
      <c r="D301" s="463"/>
    </row>
    <row r="302" spans="1:4" ht="15" hidden="1" customHeight="1" x14ac:dyDescent="0.3">
      <c r="A302" s="310" t="s">
        <v>223</v>
      </c>
      <c r="B302" s="310">
        <v>8.5</v>
      </c>
      <c r="C302" s="463">
        <f>IF('5. User defined fertiliser'!F224="Y",B302,)</f>
        <v>0</v>
      </c>
      <c r="D302" s="463"/>
    </row>
    <row r="303" spans="1:4" ht="15" hidden="1" customHeight="1" x14ac:dyDescent="0.3">
      <c r="A303" s="310" t="s">
        <v>224</v>
      </c>
      <c r="B303" s="310">
        <v>2.7</v>
      </c>
      <c r="C303" s="463">
        <f>IF('5. User defined fertiliser'!G224="Y",B303,)</f>
        <v>0</v>
      </c>
      <c r="D303" s="463"/>
    </row>
    <row r="304" spans="1:4" ht="15" hidden="1" customHeight="1" x14ac:dyDescent="0.3">
      <c r="A304" s="310" t="s">
        <v>225</v>
      </c>
      <c r="B304" s="310">
        <v>1</v>
      </c>
      <c r="C304" s="463">
        <f>IF('5. User defined fertiliser'!H224="Y",B304,)</f>
        <v>0</v>
      </c>
      <c r="D304" s="463"/>
    </row>
    <row r="305" spans="1:4" ht="15" hidden="1" customHeight="1" x14ac:dyDescent="0.3">
      <c r="A305" s="310" t="s">
        <v>226</v>
      </c>
      <c r="B305" s="310">
        <v>7</v>
      </c>
      <c r="C305" s="463">
        <f>IF('5. User defined fertiliser'!I224="Y",B305,)</f>
        <v>0</v>
      </c>
      <c r="D305" s="463"/>
    </row>
    <row r="306" spans="1:4" ht="15" hidden="1" customHeight="1" x14ac:dyDescent="0.3">
      <c r="A306" s="310" t="s">
        <v>258</v>
      </c>
      <c r="B306" s="310">
        <f>AVERAGE(B301:B305)</f>
        <v>4.5</v>
      </c>
      <c r="C306" s="463">
        <f>SUM(C301:D305)</f>
        <v>0</v>
      </c>
      <c r="D306" s="463"/>
    </row>
    <row r="307" spans="1:4" ht="15" hidden="1" customHeight="1" x14ac:dyDescent="0.3">
      <c r="A307" s="310"/>
      <c r="B307" s="310"/>
      <c r="C307" s="461">
        <f>IF(C306=0, B306, C306)</f>
        <v>4.5</v>
      </c>
      <c r="D307" s="461"/>
    </row>
    <row r="308" spans="1:4" ht="15" hidden="1" customHeight="1" x14ac:dyDescent="0.3">
      <c r="A308" s="310"/>
      <c r="B308" s="310"/>
      <c r="C308" s="462"/>
      <c r="D308" s="462"/>
    </row>
    <row r="309" spans="1:4" ht="15" hidden="1" customHeight="1" x14ac:dyDescent="0.3">
      <c r="A309" s="310" t="s">
        <v>229</v>
      </c>
      <c r="B309" s="310">
        <v>2.7</v>
      </c>
      <c r="C309" s="463">
        <f>IF('5. User defined fertiliser'!E226="Y",B309,)</f>
        <v>0</v>
      </c>
      <c r="D309" s="463"/>
    </row>
    <row r="310" spans="1:4" ht="15" hidden="1" customHeight="1" x14ac:dyDescent="0.3">
      <c r="A310" s="310" t="s">
        <v>230</v>
      </c>
      <c r="B310" s="310">
        <v>2</v>
      </c>
      <c r="C310" s="463">
        <f>IF('5. User defined fertiliser'!F226="Y",B310,)</f>
        <v>0</v>
      </c>
      <c r="D310" s="463"/>
    </row>
    <row r="311" spans="1:4" ht="15" hidden="1" customHeight="1" x14ac:dyDescent="0.3">
      <c r="A311" s="310" t="s">
        <v>259</v>
      </c>
      <c r="B311" s="310">
        <v>0.2</v>
      </c>
      <c r="C311" s="463">
        <f>IF('5. User defined fertiliser'!G226="Y",B311,)</f>
        <v>0</v>
      </c>
      <c r="D311" s="463"/>
    </row>
    <row r="312" spans="1:4" ht="15" hidden="1" customHeight="1" x14ac:dyDescent="0.3">
      <c r="A312" s="310" t="s">
        <v>260</v>
      </c>
      <c r="B312" s="187">
        <f>AVERAGE(B309:B311)</f>
        <v>1.6333333333333335</v>
      </c>
      <c r="C312" s="463">
        <f>SUM(C309:D311)</f>
        <v>0</v>
      </c>
      <c r="D312" s="463"/>
    </row>
    <row r="313" spans="1:4" ht="15" hidden="1" customHeight="1" x14ac:dyDescent="0.3">
      <c r="A313" s="310"/>
      <c r="B313" s="310"/>
      <c r="C313" s="461">
        <f>IF(C312=0, B312, C312)</f>
        <v>1.6333333333333335</v>
      </c>
      <c r="D313" s="461"/>
    </row>
    <row r="314" spans="1:4" ht="15" hidden="1" customHeight="1" x14ac:dyDescent="0.3">
      <c r="A314" s="310"/>
      <c r="B314" s="310"/>
      <c r="C314" s="462"/>
      <c r="D314" s="462"/>
    </row>
    <row r="315" spans="1:4" ht="15" hidden="1" customHeight="1" x14ac:dyDescent="0.3">
      <c r="A315" s="310" t="s">
        <v>234</v>
      </c>
      <c r="B315" s="310">
        <v>0.5</v>
      </c>
      <c r="C315" s="463">
        <f>IF('5. User defined fertiliser'!E228="Y",B315,)</f>
        <v>0</v>
      </c>
      <c r="D315" s="463"/>
    </row>
    <row r="316" spans="1:4" ht="15" hidden="1" customHeight="1" x14ac:dyDescent="0.3">
      <c r="A316" s="310" t="s">
        <v>235</v>
      </c>
      <c r="B316" s="310">
        <v>1.4</v>
      </c>
      <c r="C316" s="463">
        <f>IF('5. User defined fertiliser'!F228="Y",B316,)</f>
        <v>0</v>
      </c>
      <c r="D316" s="463"/>
    </row>
    <row r="317" spans="1:4" ht="15" hidden="1" customHeight="1" x14ac:dyDescent="0.3">
      <c r="A317" s="310" t="s">
        <v>261</v>
      </c>
      <c r="B317" s="187">
        <f>AVERAGE(B315:B316)</f>
        <v>0.95</v>
      </c>
      <c r="C317" s="463">
        <f>SUM(C315:D316)</f>
        <v>0</v>
      </c>
      <c r="D317" s="463"/>
    </row>
    <row r="318" spans="1:4" ht="15" hidden="1" customHeight="1" x14ac:dyDescent="0.3">
      <c r="A318" s="310"/>
      <c r="B318" s="310"/>
      <c r="C318" s="464">
        <f>IF(C317=0, B317, C317)</f>
        <v>0.95</v>
      </c>
      <c r="D318" s="464"/>
    </row>
    <row r="319" spans="1:4" ht="15" hidden="1" customHeight="1" x14ac:dyDescent="0.3">
      <c r="A319" s="310"/>
      <c r="B319" s="310"/>
      <c r="C319" s="462"/>
      <c r="D319" s="462"/>
    </row>
    <row r="320" spans="1:4" ht="15" hidden="1" customHeight="1" x14ac:dyDescent="0.3">
      <c r="A320" s="310" t="s">
        <v>262</v>
      </c>
      <c r="B320" s="310"/>
      <c r="C320" s="464">
        <v>0.9</v>
      </c>
      <c r="D320" s="464"/>
    </row>
    <row r="321" spans="1:4" ht="15" hidden="1" customHeight="1" x14ac:dyDescent="0.3">
      <c r="A321" s="310" t="s">
        <v>263</v>
      </c>
      <c r="B321" s="310"/>
      <c r="C321" s="464">
        <v>1</v>
      </c>
      <c r="D321" s="464"/>
    </row>
    <row r="322" spans="1:4" ht="15" hidden="1" customHeight="1" x14ac:dyDescent="0.3">
      <c r="A322" s="310" t="s">
        <v>264</v>
      </c>
      <c r="B322" s="310"/>
      <c r="C322" s="464"/>
      <c r="D322" s="464"/>
    </row>
    <row r="323" spans="1:4" ht="15" hidden="1" customHeight="1" x14ac:dyDescent="0.3">
      <c r="A323" s="310" t="s">
        <v>265</v>
      </c>
      <c r="B323" s="310"/>
      <c r="C323" s="464">
        <v>1.9</v>
      </c>
      <c r="D323" s="464"/>
    </row>
    <row r="324" spans="1:4" ht="15" hidden="1" customHeight="1" x14ac:dyDescent="0.3">
      <c r="A324" s="310" t="s">
        <v>266</v>
      </c>
      <c r="B324" s="310"/>
      <c r="C324" s="464">
        <v>0.2</v>
      </c>
      <c r="D324" s="464"/>
    </row>
    <row r="325" spans="1:4" ht="15" hidden="1" customHeight="1" x14ac:dyDescent="0.3">
      <c r="A325" s="310" t="s">
        <v>267</v>
      </c>
      <c r="B325" s="310"/>
      <c r="C325" s="464">
        <v>1.8</v>
      </c>
      <c r="D325" s="464"/>
    </row>
    <row r="326" spans="1:4" ht="15" hidden="1" customHeight="1" x14ac:dyDescent="0.3">
      <c r="A326" s="310" t="s">
        <v>268</v>
      </c>
      <c r="B326" s="310"/>
      <c r="C326" s="464">
        <v>2.9</v>
      </c>
      <c r="D326" s="464"/>
    </row>
    <row r="327" spans="1:4" ht="15" hidden="1" customHeight="1" x14ac:dyDescent="0.3"/>
    <row r="328" spans="1:4" ht="15" hidden="1" customHeight="1" x14ac:dyDescent="0.3">
      <c r="A328" s="309" t="s">
        <v>412</v>
      </c>
      <c r="B328" s="309"/>
      <c r="C328" s="309"/>
      <c r="D328" s="309"/>
    </row>
    <row r="329" spans="1:4" ht="15" hidden="1" customHeight="1" x14ac:dyDescent="0.3">
      <c r="A329" s="310"/>
      <c r="B329" s="36" t="s">
        <v>256</v>
      </c>
      <c r="C329" s="465" t="s">
        <v>257</v>
      </c>
      <c r="D329" s="465"/>
    </row>
    <row r="330" spans="1:4" ht="15" hidden="1" customHeight="1" x14ac:dyDescent="0.3">
      <c r="A330" s="310" t="s">
        <v>222</v>
      </c>
      <c r="B330" s="187">
        <v>3.3</v>
      </c>
      <c r="C330" s="463">
        <f>IF('5. User defined fertiliser'!E250="Y",B330,)</f>
        <v>0</v>
      </c>
      <c r="D330" s="463"/>
    </row>
    <row r="331" spans="1:4" ht="15" hidden="1" customHeight="1" x14ac:dyDescent="0.3">
      <c r="A331" s="310" t="s">
        <v>223</v>
      </c>
      <c r="B331" s="310">
        <v>8.5</v>
      </c>
      <c r="C331" s="463">
        <f>IF('5. User defined fertiliser'!F250="Y",B331,)</f>
        <v>0</v>
      </c>
      <c r="D331" s="463"/>
    </row>
    <row r="332" spans="1:4" ht="15" hidden="1" customHeight="1" x14ac:dyDescent="0.3">
      <c r="A332" s="310" t="s">
        <v>224</v>
      </c>
      <c r="B332" s="310">
        <v>2.7</v>
      </c>
      <c r="C332" s="463">
        <f>IF('5. User defined fertiliser'!G250="Y",B332,)</f>
        <v>0</v>
      </c>
      <c r="D332" s="463"/>
    </row>
    <row r="333" spans="1:4" ht="15" hidden="1" customHeight="1" x14ac:dyDescent="0.3">
      <c r="A333" s="310" t="s">
        <v>225</v>
      </c>
      <c r="B333" s="310">
        <v>1</v>
      </c>
      <c r="C333" s="463">
        <f>IF('5. User defined fertiliser'!H250="Y",B333,)</f>
        <v>0</v>
      </c>
      <c r="D333" s="463"/>
    </row>
    <row r="334" spans="1:4" ht="15" hidden="1" customHeight="1" x14ac:dyDescent="0.3">
      <c r="A334" s="310" t="s">
        <v>226</v>
      </c>
      <c r="B334" s="310">
        <v>7</v>
      </c>
      <c r="C334" s="463">
        <f>IF('5. User defined fertiliser'!I250="Y",B334,)</f>
        <v>0</v>
      </c>
      <c r="D334" s="463"/>
    </row>
    <row r="335" spans="1:4" ht="15" hidden="1" customHeight="1" x14ac:dyDescent="0.3">
      <c r="A335" s="310" t="s">
        <v>258</v>
      </c>
      <c r="B335" s="310">
        <f>AVERAGE(B330:B334)</f>
        <v>4.5</v>
      </c>
      <c r="C335" s="463">
        <f>SUM(C330:D334)</f>
        <v>0</v>
      </c>
      <c r="D335" s="463"/>
    </row>
    <row r="336" spans="1:4" ht="15" hidden="1" customHeight="1" x14ac:dyDescent="0.3">
      <c r="A336" s="310"/>
      <c r="B336" s="310"/>
      <c r="C336" s="461">
        <f>IF(C335=0, B335, C335)</f>
        <v>4.5</v>
      </c>
      <c r="D336" s="461"/>
    </row>
    <row r="337" spans="1:4" ht="15" hidden="1" customHeight="1" x14ac:dyDescent="0.3">
      <c r="A337" s="310"/>
      <c r="B337" s="310"/>
      <c r="C337" s="462"/>
      <c r="D337" s="462"/>
    </row>
    <row r="338" spans="1:4" ht="15" hidden="1" customHeight="1" x14ac:dyDescent="0.3">
      <c r="A338" s="310" t="s">
        <v>229</v>
      </c>
      <c r="B338" s="310">
        <v>2.7</v>
      </c>
      <c r="C338" s="463">
        <f>IF('5. User defined fertiliser'!E252="Y",B338,)</f>
        <v>0</v>
      </c>
      <c r="D338" s="463"/>
    </row>
    <row r="339" spans="1:4" ht="15" hidden="1" customHeight="1" x14ac:dyDescent="0.3">
      <c r="A339" s="310" t="s">
        <v>230</v>
      </c>
      <c r="B339" s="310">
        <v>2</v>
      </c>
      <c r="C339" s="463">
        <f>IF('5. User defined fertiliser'!F252="Y",B339,)</f>
        <v>0</v>
      </c>
      <c r="D339" s="463"/>
    </row>
    <row r="340" spans="1:4" ht="15" hidden="1" customHeight="1" x14ac:dyDescent="0.3">
      <c r="A340" s="310" t="s">
        <v>259</v>
      </c>
      <c r="B340" s="310">
        <v>0.2</v>
      </c>
      <c r="C340" s="463">
        <f>IF('5. User defined fertiliser'!G252="Y",B340,)</f>
        <v>0</v>
      </c>
      <c r="D340" s="463"/>
    </row>
    <row r="341" spans="1:4" ht="15" hidden="1" customHeight="1" x14ac:dyDescent="0.3">
      <c r="A341" s="310" t="s">
        <v>260</v>
      </c>
      <c r="B341" s="187">
        <f>AVERAGE(B338:B340)</f>
        <v>1.6333333333333335</v>
      </c>
      <c r="C341" s="463">
        <f>SUM(C338:D340)</f>
        <v>0</v>
      </c>
      <c r="D341" s="463"/>
    </row>
    <row r="342" spans="1:4" ht="15" hidden="1" customHeight="1" x14ac:dyDescent="0.3">
      <c r="A342" s="310"/>
      <c r="B342" s="310"/>
      <c r="C342" s="461">
        <f>IF(C341=0, B341, C341)</f>
        <v>1.6333333333333335</v>
      </c>
      <c r="D342" s="461"/>
    </row>
    <row r="343" spans="1:4" ht="15" hidden="1" customHeight="1" x14ac:dyDescent="0.3">
      <c r="A343" s="310"/>
      <c r="B343" s="310"/>
      <c r="C343" s="462"/>
      <c r="D343" s="462"/>
    </row>
    <row r="344" spans="1:4" ht="15" hidden="1" customHeight="1" x14ac:dyDescent="0.3">
      <c r="A344" s="310" t="s">
        <v>234</v>
      </c>
      <c r="B344" s="310">
        <v>0.5</v>
      </c>
      <c r="C344" s="463">
        <f>IF('5. User defined fertiliser'!E254="Y",B344,)</f>
        <v>0</v>
      </c>
      <c r="D344" s="463"/>
    </row>
    <row r="345" spans="1:4" ht="15" hidden="1" customHeight="1" x14ac:dyDescent="0.3">
      <c r="A345" s="310" t="s">
        <v>235</v>
      </c>
      <c r="B345" s="310">
        <v>1.4</v>
      </c>
      <c r="C345" s="463">
        <f>IF('5. User defined fertiliser'!F254="Y",B345,)</f>
        <v>0</v>
      </c>
      <c r="D345" s="463"/>
    </row>
    <row r="346" spans="1:4" ht="15" hidden="1" customHeight="1" x14ac:dyDescent="0.3">
      <c r="A346" s="310" t="s">
        <v>261</v>
      </c>
      <c r="B346" s="187">
        <f>AVERAGE(B344:B345)</f>
        <v>0.95</v>
      </c>
      <c r="C346" s="463">
        <f>SUM(C344:D345)</f>
        <v>0</v>
      </c>
      <c r="D346" s="463"/>
    </row>
    <row r="347" spans="1:4" ht="15" hidden="1" customHeight="1" x14ac:dyDescent="0.3">
      <c r="A347" s="310"/>
      <c r="B347" s="310"/>
      <c r="C347" s="464">
        <f>IF(C346=0, B346, C346)</f>
        <v>0.95</v>
      </c>
      <c r="D347" s="464"/>
    </row>
    <row r="348" spans="1:4" ht="15" hidden="1" customHeight="1" x14ac:dyDescent="0.3">
      <c r="A348" s="310"/>
      <c r="B348" s="310"/>
      <c r="C348" s="462"/>
      <c r="D348" s="462"/>
    </row>
    <row r="349" spans="1:4" ht="15" hidden="1" customHeight="1" x14ac:dyDescent="0.3">
      <c r="A349" s="310" t="s">
        <v>262</v>
      </c>
      <c r="B349" s="310"/>
      <c r="C349" s="464">
        <v>0.9</v>
      </c>
      <c r="D349" s="464"/>
    </row>
    <row r="350" spans="1:4" ht="15" hidden="1" customHeight="1" x14ac:dyDescent="0.3">
      <c r="A350" s="310" t="s">
        <v>263</v>
      </c>
      <c r="B350" s="310"/>
      <c r="C350" s="464">
        <v>1</v>
      </c>
      <c r="D350" s="464"/>
    </row>
    <row r="351" spans="1:4" ht="15" hidden="1" customHeight="1" x14ac:dyDescent="0.3">
      <c r="A351" s="310" t="s">
        <v>264</v>
      </c>
      <c r="B351" s="310"/>
      <c r="C351" s="464"/>
      <c r="D351" s="464"/>
    </row>
    <row r="352" spans="1:4" ht="15" hidden="1" customHeight="1" x14ac:dyDescent="0.3">
      <c r="A352" s="310" t="s">
        <v>265</v>
      </c>
      <c r="B352" s="310"/>
      <c r="C352" s="464">
        <v>1.9</v>
      </c>
      <c r="D352" s="464"/>
    </row>
    <row r="353" spans="1:4" ht="15" hidden="1" customHeight="1" x14ac:dyDescent="0.3">
      <c r="A353" s="310" t="s">
        <v>266</v>
      </c>
      <c r="B353" s="310"/>
      <c r="C353" s="464">
        <v>0.2</v>
      </c>
      <c r="D353" s="464"/>
    </row>
    <row r="354" spans="1:4" ht="15" hidden="1" customHeight="1" x14ac:dyDescent="0.3">
      <c r="A354" s="310" t="s">
        <v>267</v>
      </c>
      <c r="B354" s="310"/>
      <c r="C354" s="464">
        <v>1.8</v>
      </c>
      <c r="D354" s="464"/>
    </row>
    <row r="355" spans="1:4" ht="15" hidden="1" customHeight="1" x14ac:dyDescent="0.3">
      <c r="A355" s="310" t="s">
        <v>268</v>
      </c>
      <c r="B355" s="310"/>
      <c r="C355" s="464">
        <v>2.9</v>
      </c>
      <c r="D355" s="464"/>
    </row>
    <row r="357" spans="1:4" x14ac:dyDescent="0.3">
      <c r="A357" s="412" t="s">
        <v>467</v>
      </c>
    </row>
  </sheetData>
  <sheetProtection formatCells="0" formatColumns="0" formatRows="0" insertColumns="0" insertRows="0"/>
  <customSheetViews>
    <customSheetView guid="{E65377FD-65C5-4E48-ADBC-1C49981F2400}" topLeftCell="A52">
      <selection activeCell="F6" sqref="F6"/>
      <pageMargins left="0.7" right="0.7" top="0.75" bottom="0.75" header="0.3" footer="0.3"/>
      <pageSetup orientation="portrait" r:id="rId1"/>
    </customSheetView>
  </customSheetViews>
  <mergeCells count="278">
    <mergeCell ref="C355:D355"/>
    <mergeCell ref="C350:D350"/>
    <mergeCell ref="C351:D351"/>
    <mergeCell ref="C352:D352"/>
    <mergeCell ref="C353:D353"/>
    <mergeCell ref="C354:D354"/>
    <mergeCell ref="C345:D345"/>
    <mergeCell ref="C346:D346"/>
    <mergeCell ref="C347:D347"/>
    <mergeCell ref="C348:D348"/>
    <mergeCell ref="C349:D349"/>
    <mergeCell ref="C340:D340"/>
    <mergeCell ref="C341:D341"/>
    <mergeCell ref="C342:D342"/>
    <mergeCell ref="C343:D343"/>
    <mergeCell ref="C344:D344"/>
    <mergeCell ref="C335:D335"/>
    <mergeCell ref="C336:D336"/>
    <mergeCell ref="C337:D337"/>
    <mergeCell ref="C338:D338"/>
    <mergeCell ref="C339:D339"/>
    <mergeCell ref="C330:D330"/>
    <mergeCell ref="C331:D331"/>
    <mergeCell ref="C332:D332"/>
    <mergeCell ref="C333:D333"/>
    <mergeCell ref="C334:D334"/>
    <mergeCell ref="C323:D323"/>
    <mergeCell ref="C324:D324"/>
    <mergeCell ref="C325:D325"/>
    <mergeCell ref="C326:D326"/>
    <mergeCell ref="C329:D329"/>
    <mergeCell ref="C318:D318"/>
    <mergeCell ref="C319:D319"/>
    <mergeCell ref="C320:D320"/>
    <mergeCell ref="C321:D321"/>
    <mergeCell ref="C322:D322"/>
    <mergeCell ref="C313:D313"/>
    <mergeCell ref="C314:D314"/>
    <mergeCell ref="C315:D315"/>
    <mergeCell ref="C316:D316"/>
    <mergeCell ref="C317:D317"/>
    <mergeCell ref="C308:D308"/>
    <mergeCell ref="C309:D309"/>
    <mergeCell ref="C310:D310"/>
    <mergeCell ref="C311:D311"/>
    <mergeCell ref="C312:D312"/>
    <mergeCell ref="C303:D303"/>
    <mergeCell ref="C304:D304"/>
    <mergeCell ref="C305:D305"/>
    <mergeCell ref="C306:D306"/>
    <mergeCell ref="C307:D307"/>
    <mergeCell ref="C296:D296"/>
    <mergeCell ref="C297:D297"/>
    <mergeCell ref="C300:D300"/>
    <mergeCell ref="C301:D301"/>
    <mergeCell ref="C302:D302"/>
    <mergeCell ref="C291:D291"/>
    <mergeCell ref="C292:D292"/>
    <mergeCell ref="C293:D293"/>
    <mergeCell ref="C294:D294"/>
    <mergeCell ref="C295:D295"/>
    <mergeCell ref="C286:D286"/>
    <mergeCell ref="C287:D287"/>
    <mergeCell ref="C288:D288"/>
    <mergeCell ref="C289:D289"/>
    <mergeCell ref="C290:D290"/>
    <mergeCell ref="C281:D281"/>
    <mergeCell ref="C282:D282"/>
    <mergeCell ref="C283:D283"/>
    <mergeCell ref="C284:D284"/>
    <mergeCell ref="C285:D285"/>
    <mergeCell ref="C276:D276"/>
    <mergeCell ref="C277:D277"/>
    <mergeCell ref="C278:D278"/>
    <mergeCell ref="C279:D279"/>
    <mergeCell ref="C280:D280"/>
    <mergeCell ref="C271:D271"/>
    <mergeCell ref="C272:D272"/>
    <mergeCell ref="C273:D273"/>
    <mergeCell ref="C274:D274"/>
    <mergeCell ref="C275:D275"/>
    <mergeCell ref="C264:D264"/>
    <mergeCell ref="C265:D265"/>
    <mergeCell ref="C266:D266"/>
    <mergeCell ref="C267:D267"/>
    <mergeCell ref="C268:D268"/>
    <mergeCell ref="C259:D259"/>
    <mergeCell ref="C260:D260"/>
    <mergeCell ref="C261:D261"/>
    <mergeCell ref="C262:D262"/>
    <mergeCell ref="C263:D263"/>
    <mergeCell ref="C254:D254"/>
    <mergeCell ref="C255:D255"/>
    <mergeCell ref="C256:D256"/>
    <mergeCell ref="C257:D257"/>
    <mergeCell ref="C258:D258"/>
    <mergeCell ref="C249:D249"/>
    <mergeCell ref="C250:D250"/>
    <mergeCell ref="C251:D251"/>
    <mergeCell ref="C252:D252"/>
    <mergeCell ref="C253:D253"/>
    <mergeCell ref="C244:D244"/>
    <mergeCell ref="C245:D245"/>
    <mergeCell ref="C246:D246"/>
    <mergeCell ref="C247:D247"/>
    <mergeCell ref="C248:D248"/>
    <mergeCell ref="C237:D237"/>
    <mergeCell ref="C238:D238"/>
    <mergeCell ref="C239:D239"/>
    <mergeCell ref="C242:D242"/>
    <mergeCell ref="C243:D243"/>
    <mergeCell ref="C232:D232"/>
    <mergeCell ref="C233:D233"/>
    <mergeCell ref="C234:D234"/>
    <mergeCell ref="C235:D235"/>
    <mergeCell ref="C236:D236"/>
    <mergeCell ref="C227:D227"/>
    <mergeCell ref="C228:D228"/>
    <mergeCell ref="C229:D229"/>
    <mergeCell ref="C230:D230"/>
    <mergeCell ref="C231:D231"/>
    <mergeCell ref="C222:D222"/>
    <mergeCell ref="C223:D223"/>
    <mergeCell ref="C224:D224"/>
    <mergeCell ref="C225:D225"/>
    <mergeCell ref="C226:D226"/>
    <mergeCell ref="C217:D217"/>
    <mergeCell ref="C218:D218"/>
    <mergeCell ref="C219:D219"/>
    <mergeCell ref="C220:D220"/>
    <mergeCell ref="C221:D221"/>
    <mergeCell ref="C210:D210"/>
    <mergeCell ref="C213:D213"/>
    <mergeCell ref="C214:D214"/>
    <mergeCell ref="C215:D215"/>
    <mergeCell ref="C216:D216"/>
    <mergeCell ref="C205:D205"/>
    <mergeCell ref="C206:D206"/>
    <mergeCell ref="C207:D207"/>
    <mergeCell ref="C208:D208"/>
    <mergeCell ref="C209:D209"/>
    <mergeCell ref="C200:D200"/>
    <mergeCell ref="C201:D201"/>
    <mergeCell ref="C202:D202"/>
    <mergeCell ref="C203:D203"/>
    <mergeCell ref="C204:D204"/>
    <mergeCell ref="C195:D195"/>
    <mergeCell ref="C196:D196"/>
    <mergeCell ref="C197:D197"/>
    <mergeCell ref="C198:D198"/>
    <mergeCell ref="C199:D199"/>
    <mergeCell ref="C190:D190"/>
    <mergeCell ref="C191:D191"/>
    <mergeCell ref="C192:D192"/>
    <mergeCell ref="C193:D193"/>
    <mergeCell ref="C194:D194"/>
    <mergeCell ref="C185:D185"/>
    <mergeCell ref="C186:D186"/>
    <mergeCell ref="C187:D187"/>
    <mergeCell ref="C188:D188"/>
    <mergeCell ref="C189:D189"/>
    <mergeCell ref="C178:D178"/>
    <mergeCell ref="C179:D179"/>
    <mergeCell ref="C180:D180"/>
    <mergeCell ref="C181:D181"/>
    <mergeCell ref="C184:D184"/>
    <mergeCell ref="C173:D173"/>
    <mergeCell ref="C174:D174"/>
    <mergeCell ref="C175:D175"/>
    <mergeCell ref="C176:D176"/>
    <mergeCell ref="C177:D177"/>
    <mergeCell ref="C168:D168"/>
    <mergeCell ref="C169:D169"/>
    <mergeCell ref="C170:D170"/>
    <mergeCell ref="C171:D171"/>
    <mergeCell ref="C172:D172"/>
    <mergeCell ref="C163:D163"/>
    <mergeCell ref="C164:D164"/>
    <mergeCell ref="C165:D165"/>
    <mergeCell ref="C166:D166"/>
    <mergeCell ref="C167:D167"/>
    <mergeCell ref="C158:D158"/>
    <mergeCell ref="C159:D159"/>
    <mergeCell ref="C160:D160"/>
    <mergeCell ref="C161:D161"/>
    <mergeCell ref="C162:D162"/>
    <mergeCell ref="C151:D151"/>
    <mergeCell ref="C152:D152"/>
    <mergeCell ref="C155:D155"/>
    <mergeCell ref="C156:D156"/>
    <mergeCell ref="C157:D157"/>
    <mergeCell ref="C146:D146"/>
    <mergeCell ref="C147:D147"/>
    <mergeCell ref="C148:D148"/>
    <mergeCell ref="C149:D149"/>
    <mergeCell ref="C150:D150"/>
    <mergeCell ref="C141:D141"/>
    <mergeCell ref="C142:D142"/>
    <mergeCell ref="C143:D143"/>
    <mergeCell ref="C144:D144"/>
    <mergeCell ref="C145:D145"/>
    <mergeCell ref="C136:D136"/>
    <mergeCell ref="C137:D137"/>
    <mergeCell ref="C138:D138"/>
    <mergeCell ref="C139:D139"/>
    <mergeCell ref="C140:D140"/>
    <mergeCell ref="C131:D131"/>
    <mergeCell ref="C132:D132"/>
    <mergeCell ref="C133:D133"/>
    <mergeCell ref="C134:D134"/>
    <mergeCell ref="C135:D135"/>
    <mergeCell ref="C126:D126"/>
    <mergeCell ref="C127:D127"/>
    <mergeCell ref="C128:D128"/>
    <mergeCell ref="C129:D129"/>
    <mergeCell ref="C130:D130"/>
    <mergeCell ref="A3:F3"/>
    <mergeCell ref="E18:F18"/>
    <mergeCell ref="E19:F19"/>
    <mergeCell ref="E20:F20"/>
    <mergeCell ref="E21:F21"/>
    <mergeCell ref="E22:F22"/>
    <mergeCell ref="E23:F23"/>
    <mergeCell ref="E24:F24"/>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97:D97"/>
    <mergeCell ref="C98:D98"/>
    <mergeCell ref="C99:D99"/>
    <mergeCell ref="C100:D100"/>
    <mergeCell ref="C88:D88"/>
    <mergeCell ref="C89:D89"/>
    <mergeCell ref="C90:D90"/>
    <mergeCell ref="C91:D91"/>
    <mergeCell ref="C92:D92"/>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23:D123"/>
    <mergeCell ref="C121:D121"/>
    <mergeCell ref="C122:D122"/>
    <mergeCell ref="C116:D116"/>
    <mergeCell ref="C117:D117"/>
    <mergeCell ref="C118:D118"/>
    <mergeCell ref="C119:D119"/>
    <mergeCell ref="C120:D120"/>
  </mergeCells>
  <pageMargins left="0.7" right="0.7" top="0.75" bottom="0.75" header="0.3" footer="0.3"/>
  <pageSetup orientation="portrait"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0" tint="-0.249977111117893"/>
  </sheetPr>
  <dimension ref="A1:C17"/>
  <sheetViews>
    <sheetView workbookViewId="0">
      <selection activeCell="B12" sqref="B12"/>
    </sheetView>
  </sheetViews>
  <sheetFormatPr defaultColWidth="9.109375" defaultRowHeight="14.4" x14ac:dyDescent="0.3"/>
  <cols>
    <col min="1" max="1" width="20.6640625" style="11" customWidth="1"/>
    <col min="2" max="2" width="10.5546875" style="11" customWidth="1"/>
    <col min="3" max="16384" width="9.109375" style="11"/>
  </cols>
  <sheetData>
    <row r="1" spans="1:3" x14ac:dyDescent="0.3">
      <c r="A1" s="25" t="s">
        <v>128</v>
      </c>
    </row>
    <row r="2" spans="1:3" x14ac:dyDescent="0.3">
      <c r="A2" s="25"/>
    </row>
    <row r="3" spans="1:3" ht="43.5" customHeight="1" x14ac:dyDescent="0.3">
      <c r="A3" s="470" t="s">
        <v>135</v>
      </c>
      <c r="B3" s="471"/>
    </row>
    <row r="4" spans="1:3" x14ac:dyDescent="0.3">
      <c r="A4" s="27"/>
    </row>
    <row r="5" spans="1:3" x14ac:dyDescent="0.3">
      <c r="A5" s="39"/>
    </row>
    <row r="6" spans="1:3" x14ac:dyDescent="0.3">
      <c r="A6" s="26" t="s">
        <v>348</v>
      </c>
      <c r="B6" s="241">
        <f>'9. Mill data'!B7</f>
        <v>0</v>
      </c>
      <c r="C6" s="4"/>
    </row>
    <row r="7" spans="1:3" x14ac:dyDescent="0.3">
      <c r="A7" s="26" t="s">
        <v>349</v>
      </c>
      <c r="B7" s="241">
        <f>'9. Mill data'!B8</f>
        <v>0</v>
      </c>
      <c r="C7" s="4"/>
    </row>
    <row r="8" spans="1:3" x14ac:dyDescent="0.3">
      <c r="A8" s="26"/>
      <c r="B8" s="28"/>
    </row>
    <row r="9" spans="1:3" ht="39.75" customHeight="1" x14ac:dyDescent="0.3">
      <c r="A9" s="38" t="s">
        <v>129</v>
      </c>
      <c r="B9" s="29" t="e">
        <f>1/(1+B7/B6)*100</f>
        <v>#DIV/0!</v>
      </c>
    </row>
    <row r="10" spans="1:3" ht="39.75" customHeight="1" x14ac:dyDescent="0.3">
      <c r="A10" s="38" t="s">
        <v>130</v>
      </c>
      <c r="B10" s="29" t="e">
        <f>100-B9</f>
        <v>#DIV/0!</v>
      </c>
    </row>
    <row r="11" spans="1:3" x14ac:dyDescent="0.3">
      <c r="A11" s="27"/>
      <c r="B11" s="18"/>
    </row>
    <row r="12" spans="1:3" x14ac:dyDescent="0.3">
      <c r="A12" s="412" t="s">
        <v>467</v>
      </c>
      <c r="B12" s="18"/>
    </row>
    <row r="13" spans="1:3" x14ac:dyDescent="0.3">
      <c r="A13" s="26"/>
      <c r="B13" s="4"/>
      <c r="C13" s="4"/>
    </row>
    <row r="14" spans="1:3" x14ac:dyDescent="0.3">
      <c r="A14"/>
      <c r="B14" s="4"/>
    </row>
    <row r="16" spans="1:3" x14ac:dyDescent="0.3">
      <c r="A16" s="38"/>
      <c r="B16" s="29"/>
    </row>
    <row r="17" spans="1:2" x14ac:dyDescent="0.3">
      <c r="A17" s="38"/>
      <c r="B17" s="29"/>
    </row>
  </sheetData>
  <customSheetViews>
    <customSheetView guid="{E65377FD-65C5-4E48-ADBC-1C49981F2400}">
      <selection activeCell="F9" sqref="F9"/>
      <pageMargins left="0.7" right="0.7" top="0.75" bottom="0.75" header="0.3" footer="0.3"/>
      <pageSetup orientation="portrait" r:id="rId1"/>
    </customSheetView>
  </customSheetViews>
  <mergeCells count="1">
    <mergeCell ref="A3:B3"/>
  </mergeCells>
  <pageMargins left="0.7" right="0.7" top="0.75" bottom="0.75" header="0.3" footer="0.3"/>
  <pageSetup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theme="0" tint="-0.249977111117893"/>
  </sheetPr>
  <dimension ref="A1:Y42"/>
  <sheetViews>
    <sheetView showGridLines="0" workbookViewId="0">
      <selection activeCell="B41" sqref="B41"/>
    </sheetView>
  </sheetViews>
  <sheetFormatPr defaultColWidth="9.109375" defaultRowHeight="13.8" x14ac:dyDescent="0.3"/>
  <cols>
    <col min="1" max="1" width="4.88671875" style="346" customWidth="1"/>
    <col min="2" max="16384" width="9.109375" style="344"/>
  </cols>
  <sheetData>
    <row r="1" spans="1:25" ht="42.75" customHeight="1" x14ac:dyDescent="0.65">
      <c r="A1" s="340" t="s">
        <v>27</v>
      </c>
    </row>
    <row r="3" spans="1:25" s="339" customFormat="1" ht="16.5" customHeight="1" x14ac:dyDescent="0.3">
      <c r="A3" s="348">
        <v>1</v>
      </c>
      <c r="B3" s="349" t="s">
        <v>28</v>
      </c>
      <c r="C3" s="349"/>
      <c r="D3" s="349"/>
      <c r="E3" s="349"/>
      <c r="F3" s="349"/>
      <c r="G3" s="349"/>
      <c r="H3" s="349"/>
      <c r="I3" s="349"/>
      <c r="J3" s="349"/>
      <c r="K3" s="349"/>
      <c r="L3" s="349"/>
      <c r="M3" s="349"/>
      <c r="N3" s="349"/>
      <c r="O3" s="349"/>
      <c r="P3" s="349"/>
      <c r="Q3" s="349"/>
      <c r="R3" s="349"/>
      <c r="S3" s="349"/>
      <c r="T3" s="349"/>
      <c r="U3" s="349"/>
      <c r="V3" s="349"/>
      <c r="W3" s="349"/>
      <c r="X3" s="349"/>
      <c r="Y3" s="349"/>
    </row>
    <row r="4" spans="1:25" s="339" customFormat="1" ht="16.5" customHeight="1" x14ac:dyDescent="0.3">
      <c r="A4" s="348">
        <v>2</v>
      </c>
      <c r="B4" s="350" t="s">
        <v>143</v>
      </c>
      <c r="C4" s="349"/>
      <c r="D4" s="349"/>
      <c r="E4" s="349"/>
      <c r="F4" s="349"/>
      <c r="G4" s="349"/>
      <c r="H4" s="349"/>
      <c r="I4" s="349"/>
      <c r="J4" s="349"/>
      <c r="K4" s="349"/>
      <c r="L4" s="349"/>
      <c r="M4" s="349"/>
      <c r="N4" s="349"/>
      <c r="O4" s="349"/>
      <c r="P4" s="349"/>
      <c r="Q4" s="349"/>
      <c r="R4" s="349"/>
      <c r="S4" s="349"/>
      <c r="T4" s="349"/>
      <c r="U4" s="349"/>
      <c r="V4" s="349"/>
      <c r="W4" s="349"/>
      <c r="X4" s="349"/>
      <c r="Y4" s="349"/>
    </row>
    <row r="5" spans="1:25" s="339" customFormat="1" ht="16.5" customHeight="1" x14ac:dyDescent="0.3">
      <c r="A5" s="348">
        <v>3</v>
      </c>
      <c r="B5" s="349" t="s">
        <v>29</v>
      </c>
      <c r="C5" s="349"/>
      <c r="D5" s="349"/>
      <c r="E5" s="349"/>
      <c r="F5" s="349"/>
      <c r="G5" s="349"/>
      <c r="H5" s="349"/>
      <c r="I5" s="349"/>
      <c r="J5" s="349"/>
      <c r="K5" s="349"/>
      <c r="L5" s="349"/>
      <c r="M5" s="349"/>
      <c r="N5" s="349"/>
      <c r="O5" s="349"/>
      <c r="P5" s="349"/>
      <c r="Q5" s="349"/>
      <c r="R5" s="349"/>
      <c r="S5" s="349"/>
      <c r="T5" s="349"/>
      <c r="U5" s="349"/>
      <c r="V5" s="349"/>
      <c r="W5" s="349"/>
      <c r="X5" s="349"/>
      <c r="Y5" s="349"/>
    </row>
    <row r="6" spans="1:25" s="339" customFormat="1" ht="16.5" customHeight="1" x14ac:dyDescent="0.3">
      <c r="A6" s="348">
        <v>4</v>
      </c>
      <c r="B6" s="349" t="s">
        <v>30</v>
      </c>
      <c r="C6" s="349"/>
      <c r="D6" s="349"/>
      <c r="E6" s="349"/>
      <c r="F6" s="349"/>
      <c r="G6" s="349"/>
      <c r="H6" s="349"/>
      <c r="I6" s="349"/>
      <c r="J6" s="349"/>
      <c r="K6" s="349"/>
      <c r="L6" s="349"/>
      <c r="M6" s="349"/>
      <c r="N6" s="349"/>
      <c r="O6" s="349"/>
      <c r="P6" s="349"/>
      <c r="Q6" s="349"/>
      <c r="R6" s="349"/>
      <c r="S6" s="349"/>
      <c r="T6" s="349"/>
      <c r="U6" s="349"/>
      <c r="V6" s="349"/>
      <c r="W6" s="349"/>
      <c r="X6" s="349"/>
      <c r="Y6" s="349"/>
    </row>
    <row r="7" spans="1:25" s="339" customFormat="1" ht="16.5" customHeight="1" x14ac:dyDescent="0.3">
      <c r="A7" s="348">
        <v>5</v>
      </c>
      <c r="B7" s="349" t="s">
        <v>31</v>
      </c>
      <c r="C7" s="349"/>
      <c r="D7" s="349"/>
      <c r="E7" s="349"/>
      <c r="F7" s="349"/>
      <c r="G7" s="349"/>
      <c r="H7" s="349"/>
      <c r="I7" s="349"/>
      <c r="J7" s="349"/>
      <c r="K7" s="349"/>
      <c r="L7" s="349"/>
      <c r="M7" s="349"/>
      <c r="N7" s="349"/>
      <c r="O7" s="349"/>
      <c r="P7" s="349"/>
      <c r="Q7" s="349"/>
      <c r="R7" s="349"/>
      <c r="S7" s="349"/>
      <c r="T7" s="349"/>
      <c r="U7" s="349"/>
      <c r="V7" s="349"/>
      <c r="W7" s="349"/>
      <c r="X7" s="349"/>
      <c r="Y7" s="349"/>
    </row>
    <row r="8" spans="1:25" s="339" customFormat="1" ht="16.5" customHeight="1" x14ac:dyDescent="0.3">
      <c r="A8" s="348">
        <v>6</v>
      </c>
      <c r="B8" s="349" t="s">
        <v>32</v>
      </c>
      <c r="C8" s="349"/>
      <c r="D8" s="349"/>
      <c r="E8" s="349"/>
      <c r="F8" s="349"/>
      <c r="G8" s="349"/>
      <c r="H8" s="349"/>
      <c r="I8" s="349"/>
      <c r="J8" s="349"/>
      <c r="K8" s="349"/>
      <c r="L8" s="349"/>
      <c r="M8" s="349"/>
      <c r="N8" s="349"/>
      <c r="O8" s="349"/>
      <c r="P8" s="349"/>
      <c r="Q8" s="349"/>
      <c r="R8" s="349"/>
      <c r="S8" s="349"/>
      <c r="T8" s="349"/>
      <c r="U8" s="349"/>
      <c r="V8" s="349"/>
      <c r="W8" s="349"/>
      <c r="X8" s="349"/>
      <c r="Y8" s="349"/>
    </row>
    <row r="9" spans="1:25" s="339" customFormat="1" ht="16.5" customHeight="1" x14ac:dyDescent="0.3">
      <c r="A9" s="348">
        <v>7</v>
      </c>
      <c r="B9" s="349" t="s">
        <v>33</v>
      </c>
      <c r="C9" s="349"/>
      <c r="D9" s="349"/>
      <c r="E9" s="349"/>
      <c r="F9" s="349"/>
      <c r="G9" s="349"/>
      <c r="H9" s="349"/>
      <c r="I9" s="349"/>
      <c r="J9" s="349"/>
      <c r="K9" s="349"/>
      <c r="L9" s="349"/>
      <c r="M9" s="349"/>
      <c r="N9" s="349"/>
      <c r="O9" s="349"/>
      <c r="P9" s="349"/>
      <c r="Q9" s="349"/>
      <c r="R9" s="349"/>
      <c r="S9" s="349"/>
      <c r="T9" s="349"/>
      <c r="U9" s="349"/>
      <c r="V9" s="349"/>
      <c r="W9" s="349"/>
      <c r="X9" s="349"/>
      <c r="Y9" s="349"/>
    </row>
    <row r="10" spans="1:25" s="339" customFormat="1" ht="16.5" customHeight="1" x14ac:dyDescent="0.3">
      <c r="A10" s="348">
        <v>8</v>
      </c>
      <c r="B10" s="350" t="s">
        <v>148</v>
      </c>
      <c r="C10" s="349"/>
      <c r="D10" s="349"/>
      <c r="E10" s="349"/>
      <c r="F10" s="349"/>
      <c r="G10" s="349"/>
      <c r="H10" s="349"/>
      <c r="I10" s="349"/>
      <c r="J10" s="349"/>
      <c r="K10" s="349"/>
      <c r="L10" s="349"/>
      <c r="M10" s="349"/>
      <c r="N10" s="349"/>
      <c r="O10" s="349"/>
      <c r="P10" s="349"/>
      <c r="Q10" s="349"/>
      <c r="R10" s="349"/>
      <c r="S10" s="349"/>
      <c r="T10" s="349"/>
      <c r="U10" s="349"/>
      <c r="V10" s="349"/>
      <c r="W10" s="349"/>
      <c r="X10" s="349"/>
      <c r="Y10" s="349"/>
    </row>
    <row r="11" spans="1:25" s="339" customFormat="1" ht="16.5" customHeight="1" x14ac:dyDescent="0.3">
      <c r="A11" s="348">
        <v>9</v>
      </c>
      <c r="B11" s="349" t="s">
        <v>34</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row>
    <row r="12" spans="1:25" s="339" customFormat="1" ht="16.5" customHeight="1" x14ac:dyDescent="0.3">
      <c r="A12" s="348">
        <v>10</v>
      </c>
      <c r="B12" s="349" t="s">
        <v>169</v>
      </c>
      <c r="C12" s="349"/>
      <c r="D12" s="349"/>
      <c r="E12" s="349"/>
      <c r="F12" s="349"/>
      <c r="G12" s="349"/>
      <c r="H12" s="349"/>
      <c r="I12" s="349"/>
      <c r="J12" s="349"/>
      <c r="K12" s="349"/>
      <c r="L12" s="349"/>
      <c r="M12" s="349"/>
      <c r="N12" s="349"/>
      <c r="O12" s="349"/>
      <c r="P12" s="349"/>
      <c r="Q12" s="349"/>
      <c r="R12" s="349"/>
      <c r="S12" s="349"/>
      <c r="T12" s="349"/>
      <c r="U12" s="349"/>
      <c r="V12" s="349"/>
      <c r="W12" s="349"/>
      <c r="X12" s="349"/>
      <c r="Y12" s="349"/>
    </row>
    <row r="13" spans="1:25" s="339" customFormat="1" ht="16.5" customHeight="1" x14ac:dyDescent="0.3">
      <c r="A13" s="348">
        <v>11</v>
      </c>
      <c r="B13" s="351" t="s">
        <v>180</v>
      </c>
      <c r="C13" s="349"/>
      <c r="D13" s="349"/>
      <c r="E13" s="349"/>
      <c r="F13" s="349"/>
      <c r="G13" s="349"/>
      <c r="H13" s="349"/>
      <c r="I13" s="349"/>
      <c r="J13" s="349"/>
      <c r="K13" s="349"/>
      <c r="L13" s="349"/>
      <c r="M13" s="349"/>
      <c r="N13" s="349"/>
      <c r="O13" s="349"/>
      <c r="P13" s="349"/>
      <c r="Q13" s="349"/>
      <c r="R13" s="349"/>
      <c r="S13" s="349"/>
      <c r="T13" s="349"/>
      <c r="U13" s="349"/>
      <c r="V13" s="349"/>
      <c r="W13" s="349"/>
      <c r="X13" s="349"/>
      <c r="Y13" s="349"/>
    </row>
    <row r="14" spans="1:25" s="339" customFormat="1" ht="16.5" customHeight="1" x14ac:dyDescent="0.3">
      <c r="A14" s="348">
        <v>12</v>
      </c>
      <c r="B14" s="349" t="s">
        <v>64</v>
      </c>
      <c r="C14" s="349"/>
      <c r="D14" s="349"/>
      <c r="E14" s="349"/>
      <c r="F14" s="349"/>
      <c r="G14" s="349"/>
      <c r="H14" s="349"/>
      <c r="I14" s="349"/>
      <c r="J14" s="349"/>
      <c r="K14" s="349"/>
      <c r="L14" s="349"/>
      <c r="M14" s="349"/>
      <c r="N14" s="349"/>
      <c r="O14" s="349"/>
      <c r="P14" s="349"/>
      <c r="Q14" s="349"/>
      <c r="R14" s="349"/>
      <c r="S14" s="349"/>
      <c r="T14" s="349"/>
      <c r="U14" s="349"/>
      <c r="V14" s="349"/>
      <c r="W14" s="349"/>
      <c r="X14" s="349"/>
      <c r="Y14" s="349"/>
    </row>
    <row r="15" spans="1:25" s="339" customFormat="1" ht="16.5" customHeight="1" x14ac:dyDescent="0.3">
      <c r="A15" s="348">
        <v>13</v>
      </c>
      <c r="B15" s="349" t="s">
        <v>65</v>
      </c>
      <c r="C15" s="349"/>
      <c r="D15" s="349"/>
      <c r="E15" s="349"/>
      <c r="F15" s="349"/>
      <c r="G15" s="349"/>
      <c r="H15" s="349"/>
      <c r="I15" s="349"/>
      <c r="J15" s="349"/>
      <c r="K15" s="349"/>
      <c r="L15" s="349"/>
      <c r="M15" s="349"/>
      <c r="N15" s="349"/>
      <c r="O15" s="349"/>
      <c r="P15" s="349"/>
      <c r="Q15" s="349"/>
      <c r="R15" s="349"/>
      <c r="S15" s="349"/>
      <c r="T15" s="349"/>
      <c r="U15" s="349"/>
      <c r="V15" s="349"/>
      <c r="W15" s="349"/>
      <c r="X15" s="349"/>
      <c r="Y15" s="349"/>
    </row>
    <row r="16" spans="1:25" s="339" customFormat="1" ht="16.5" customHeight="1" x14ac:dyDescent="0.3">
      <c r="A16" s="348">
        <v>14</v>
      </c>
      <c r="B16" s="349" t="s">
        <v>72</v>
      </c>
      <c r="C16" s="349"/>
      <c r="D16" s="349"/>
      <c r="E16" s="349"/>
      <c r="F16" s="349"/>
      <c r="G16" s="349"/>
      <c r="H16" s="349"/>
      <c r="I16" s="349"/>
      <c r="J16" s="349"/>
      <c r="K16" s="349"/>
      <c r="L16" s="349"/>
      <c r="M16" s="349"/>
      <c r="N16" s="349"/>
      <c r="O16" s="349"/>
      <c r="P16" s="349"/>
      <c r="Q16" s="349"/>
      <c r="R16" s="349"/>
      <c r="S16" s="349"/>
      <c r="T16" s="349"/>
      <c r="U16" s="349"/>
      <c r="V16" s="349"/>
      <c r="W16" s="349"/>
      <c r="X16" s="349"/>
      <c r="Y16" s="349"/>
    </row>
    <row r="17" spans="1:25" s="339" customFormat="1" ht="16.5" customHeight="1" x14ac:dyDescent="0.3">
      <c r="A17" s="348">
        <v>15</v>
      </c>
      <c r="B17" s="349" t="s">
        <v>154</v>
      </c>
      <c r="C17" s="349"/>
      <c r="D17" s="349"/>
      <c r="E17" s="349"/>
      <c r="F17" s="349"/>
      <c r="G17" s="349"/>
      <c r="H17" s="349"/>
      <c r="I17" s="349"/>
      <c r="J17" s="349"/>
      <c r="K17" s="349"/>
      <c r="L17" s="349"/>
      <c r="M17" s="349"/>
      <c r="N17" s="349"/>
      <c r="O17" s="349"/>
      <c r="P17" s="349"/>
      <c r="Q17" s="349"/>
      <c r="R17" s="349"/>
      <c r="S17" s="349"/>
      <c r="T17" s="349"/>
      <c r="U17" s="349"/>
      <c r="V17" s="349"/>
      <c r="W17" s="349"/>
      <c r="X17" s="349"/>
      <c r="Y17" s="349"/>
    </row>
    <row r="18" spans="1:25" s="339" customFormat="1" ht="16.5" customHeight="1" x14ac:dyDescent="0.3">
      <c r="A18" s="348">
        <v>16</v>
      </c>
      <c r="B18" s="349" t="s">
        <v>121</v>
      </c>
      <c r="C18" s="349"/>
      <c r="D18" s="349"/>
      <c r="E18" s="349"/>
      <c r="F18" s="349"/>
      <c r="G18" s="349"/>
      <c r="H18" s="349"/>
      <c r="I18" s="349"/>
      <c r="J18" s="349"/>
      <c r="K18" s="349"/>
      <c r="L18" s="349"/>
      <c r="M18" s="349"/>
      <c r="N18" s="349"/>
      <c r="O18" s="349"/>
      <c r="P18" s="349"/>
      <c r="Q18" s="349"/>
      <c r="R18" s="349"/>
      <c r="S18" s="349"/>
      <c r="T18" s="349"/>
      <c r="U18" s="349"/>
      <c r="V18" s="349"/>
      <c r="W18" s="349"/>
      <c r="X18" s="349"/>
      <c r="Y18" s="349"/>
    </row>
    <row r="19" spans="1:25" s="339" customFormat="1" ht="16.5" customHeight="1" x14ac:dyDescent="0.3">
      <c r="A19" s="348">
        <v>17</v>
      </c>
      <c r="B19" s="350" t="s">
        <v>156</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row>
    <row r="20" spans="1:25" s="339" customFormat="1" ht="16.5" customHeight="1" x14ac:dyDescent="0.3">
      <c r="A20" s="348">
        <v>18</v>
      </c>
      <c r="B20" s="350" t="s">
        <v>123</v>
      </c>
      <c r="C20" s="349"/>
      <c r="D20" s="349"/>
      <c r="E20" s="349"/>
      <c r="F20" s="349"/>
      <c r="G20" s="349"/>
      <c r="H20" s="349"/>
      <c r="I20" s="349"/>
      <c r="J20" s="349"/>
      <c r="K20" s="349"/>
      <c r="L20" s="349"/>
      <c r="M20" s="349"/>
      <c r="N20" s="349"/>
      <c r="O20" s="349"/>
      <c r="P20" s="349"/>
      <c r="Q20" s="349"/>
      <c r="R20" s="349"/>
      <c r="S20" s="349"/>
      <c r="T20" s="349"/>
      <c r="U20" s="349"/>
      <c r="V20" s="349"/>
      <c r="W20" s="349"/>
      <c r="X20" s="349"/>
      <c r="Y20" s="349"/>
    </row>
    <row r="21" spans="1:25" s="339" customFormat="1" ht="16.5" customHeight="1" x14ac:dyDescent="0.3">
      <c r="A21" s="348">
        <v>19</v>
      </c>
      <c r="B21" s="350" t="s">
        <v>124</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row>
    <row r="22" spans="1:25" s="339" customFormat="1" ht="16.5" customHeight="1" x14ac:dyDescent="0.3">
      <c r="A22" s="348">
        <v>20</v>
      </c>
      <c r="B22" s="350" t="s">
        <v>127</v>
      </c>
      <c r="C22" s="349"/>
      <c r="D22" s="349"/>
      <c r="E22" s="349"/>
      <c r="F22" s="349"/>
      <c r="G22" s="349"/>
      <c r="H22" s="349"/>
      <c r="I22" s="349"/>
      <c r="J22" s="349"/>
      <c r="K22" s="349"/>
      <c r="L22" s="349"/>
      <c r="M22" s="349"/>
      <c r="N22" s="349"/>
      <c r="O22" s="349"/>
      <c r="P22" s="349"/>
      <c r="Q22" s="349"/>
      <c r="R22" s="349"/>
      <c r="S22" s="349"/>
      <c r="T22" s="349"/>
      <c r="U22" s="349"/>
      <c r="V22" s="349"/>
      <c r="W22" s="349"/>
      <c r="X22" s="349"/>
      <c r="Y22" s="349"/>
    </row>
    <row r="23" spans="1:25" s="339" customFormat="1" ht="16.5" customHeight="1" x14ac:dyDescent="0.3">
      <c r="A23" s="348">
        <v>21</v>
      </c>
      <c r="B23" s="349" t="s">
        <v>122</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row>
    <row r="24" spans="1:25" s="339" customFormat="1" ht="16.5" customHeight="1" x14ac:dyDescent="0.3">
      <c r="A24" s="348">
        <v>22</v>
      </c>
      <c r="B24" s="350" t="s">
        <v>167</v>
      </c>
      <c r="C24" s="349"/>
      <c r="D24" s="349"/>
      <c r="E24" s="349"/>
      <c r="F24" s="349"/>
      <c r="G24" s="349"/>
      <c r="H24" s="349"/>
      <c r="I24" s="349"/>
      <c r="J24" s="349"/>
      <c r="K24" s="349"/>
      <c r="L24" s="349"/>
      <c r="M24" s="349"/>
      <c r="N24" s="349"/>
      <c r="O24" s="349"/>
      <c r="P24" s="349"/>
      <c r="Q24" s="349"/>
      <c r="R24" s="349"/>
      <c r="S24" s="349"/>
      <c r="T24" s="349"/>
      <c r="U24" s="349"/>
      <c r="V24" s="349"/>
      <c r="W24" s="349"/>
      <c r="X24" s="349"/>
      <c r="Y24" s="349"/>
    </row>
    <row r="25" spans="1:25" s="339" customFormat="1" ht="16.5" customHeight="1" x14ac:dyDescent="0.3">
      <c r="A25" s="348">
        <v>23</v>
      </c>
      <c r="B25" s="472" t="s">
        <v>170</v>
      </c>
      <c r="C25" s="473"/>
      <c r="D25" s="473"/>
      <c r="E25" s="473"/>
      <c r="F25" s="473"/>
      <c r="G25" s="473"/>
      <c r="H25" s="473"/>
      <c r="I25" s="473"/>
      <c r="J25" s="473"/>
      <c r="K25" s="473"/>
      <c r="L25" s="473"/>
      <c r="M25" s="473"/>
      <c r="N25" s="473"/>
      <c r="O25" s="473"/>
      <c r="P25" s="473"/>
      <c r="Q25" s="473"/>
      <c r="R25" s="473"/>
      <c r="S25" s="473"/>
      <c r="T25" s="473"/>
      <c r="U25" s="473"/>
      <c r="V25" s="473"/>
      <c r="W25" s="473"/>
      <c r="X25" s="473"/>
      <c r="Y25" s="473"/>
    </row>
    <row r="26" spans="1:25" s="339" customFormat="1" ht="16.5" customHeight="1" x14ac:dyDescent="0.3">
      <c r="A26" s="348">
        <v>24</v>
      </c>
      <c r="B26" s="350" t="s">
        <v>171</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row>
    <row r="27" spans="1:25" s="339" customFormat="1" ht="16.5" customHeight="1" x14ac:dyDescent="0.3">
      <c r="A27" s="348">
        <v>25</v>
      </c>
      <c r="B27" s="352" t="s">
        <v>218</v>
      </c>
      <c r="C27" s="349"/>
      <c r="D27" s="349"/>
      <c r="E27" s="349"/>
      <c r="F27" s="349"/>
      <c r="G27" s="349"/>
      <c r="H27" s="349"/>
      <c r="I27" s="349"/>
      <c r="J27" s="349"/>
      <c r="K27" s="349"/>
      <c r="L27" s="349"/>
      <c r="M27" s="349"/>
      <c r="N27" s="349"/>
      <c r="O27" s="349"/>
      <c r="P27" s="349"/>
      <c r="Q27" s="349"/>
      <c r="R27" s="349"/>
      <c r="S27" s="349"/>
      <c r="T27" s="349"/>
      <c r="U27" s="349"/>
      <c r="V27" s="349"/>
      <c r="W27" s="349"/>
      <c r="X27" s="349"/>
      <c r="Y27" s="349"/>
    </row>
    <row r="28" spans="1:25" s="339" customFormat="1" ht="16.5" customHeight="1" x14ac:dyDescent="0.3">
      <c r="A28" s="348">
        <v>26</v>
      </c>
      <c r="B28" s="352" t="s">
        <v>174</v>
      </c>
      <c r="C28" s="349"/>
      <c r="D28" s="349"/>
      <c r="E28" s="349"/>
      <c r="F28" s="349"/>
      <c r="G28" s="349"/>
      <c r="H28" s="349"/>
      <c r="I28" s="349"/>
      <c r="J28" s="349"/>
      <c r="K28" s="349"/>
      <c r="L28" s="349"/>
      <c r="M28" s="349"/>
      <c r="N28" s="349"/>
      <c r="O28" s="349"/>
      <c r="P28" s="349"/>
      <c r="Q28" s="349"/>
      <c r="R28" s="349"/>
      <c r="S28" s="349"/>
      <c r="T28" s="349"/>
      <c r="U28" s="349"/>
      <c r="V28" s="349"/>
      <c r="W28" s="349"/>
      <c r="X28" s="349"/>
      <c r="Y28" s="349"/>
    </row>
    <row r="29" spans="1:25" s="339" customFormat="1" ht="16.5" customHeight="1" x14ac:dyDescent="0.3">
      <c r="A29" s="348">
        <v>27</v>
      </c>
      <c r="B29" s="349" t="s">
        <v>443</v>
      </c>
      <c r="C29" s="349"/>
      <c r="D29" s="349"/>
      <c r="E29" s="349"/>
      <c r="F29" s="349"/>
      <c r="G29" s="349"/>
      <c r="H29" s="349"/>
      <c r="I29" s="349"/>
      <c r="J29" s="349"/>
      <c r="K29" s="349"/>
      <c r="L29" s="349"/>
      <c r="M29" s="349"/>
      <c r="N29" s="349"/>
      <c r="O29" s="349"/>
      <c r="P29" s="349"/>
      <c r="Q29" s="349"/>
      <c r="R29" s="349"/>
      <c r="S29" s="349"/>
      <c r="T29" s="349"/>
      <c r="U29" s="349"/>
      <c r="V29" s="349"/>
      <c r="W29" s="349"/>
      <c r="X29" s="349"/>
      <c r="Y29" s="349"/>
    </row>
    <row r="30" spans="1:25" s="339" customFormat="1" ht="16.5" customHeight="1" x14ac:dyDescent="0.3">
      <c r="A30" s="348">
        <v>28</v>
      </c>
      <c r="B30" s="349" t="s">
        <v>178</v>
      </c>
      <c r="C30" s="349"/>
      <c r="D30" s="349"/>
      <c r="E30" s="349"/>
      <c r="F30" s="349"/>
      <c r="G30" s="349"/>
      <c r="H30" s="349"/>
      <c r="I30" s="349"/>
      <c r="J30" s="349"/>
      <c r="K30" s="349"/>
      <c r="L30" s="349"/>
      <c r="M30" s="349"/>
      <c r="N30" s="349"/>
      <c r="O30" s="349"/>
      <c r="P30" s="349"/>
      <c r="Q30" s="349"/>
      <c r="R30" s="349"/>
      <c r="S30" s="349"/>
      <c r="T30" s="349"/>
      <c r="U30" s="349"/>
      <c r="V30" s="349"/>
      <c r="W30" s="349"/>
      <c r="X30" s="349"/>
      <c r="Y30" s="349"/>
    </row>
    <row r="31" spans="1:25" s="339" customFormat="1" ht="16.5" customHeight="1" x14ac:dyDescent="0.3">
      <c r="A31" s="348">
        <v>29</v>
      </c>
      <c r="B31" s="349" t="s">
        <v>179</v>
      </c>
      <c r="C31" s="349"/>
      <c r="D31" s="349"/>
      <c r="E31" s="349"/>
      <c r="F31" s="349"/>
      <c r="G31" s="349"/>
      <c r="H31" s="349"/>
      <c r="I31" s="349"/>
      <c r="J31" s="349"/>
      <c r="K31" s="349"/>
      <c r="L31" s="349"/>
      <c r="M31" s="349"/>
      <c r="N31" s="349"/>
      <c r="O31" s="349"/>
      <c r="P31" s="349"/>
      <c r="Q31" s="349"/>
      <c r="R31" s="349"/>
      <c r="S31" s="349"/>
      <c r="T31" s="349"/>
      <c r="U31" s="349"/>
      <c r="V31" s="349"/>
      <c r="W31" s="349"/>
      <c r="X31" s="349"/>
      <c r="Y31" s="349"/>
    </row>
    <row r="32" spans="1:25" s="339" customFormat="1" ht="16.5" customHeight="1" x14ac:dyDescent="0.3">
      <c r="A32" s="353">
        <v>30</v>
      </c>
      <c r="B32" s="354" t="s">
        <v>187</v>
      </c>
      <c r="C32" s="354"/>
      <c r="D32" s="354"/>
      <c r="E32" s="349"/>
      <c r="F32" s="349"/>
      <c r="G32" s="349"/>
      <c r="H32" s="349"/>
      <c r="I32" s="349"/>
      <c r="J32" s="349"/>
      <c r="K32" s="349"/>
      <c r="L32" s="349"/>
      <c r="M32" s="349"/>
      <c r="N32" s="349"/>
      <c r="O32" s="349"/>
      <c r="P32" s="349"/>
      <c r="Q32" s="349"/>
      <c r="R32" s="349"/>
      <c r="S32" s="349"/>
      <c r="T32" s="349"/>
      <c r="U32" s="349"/>
      <c r="V32" s="349"/>
      <c r="W32" s="349"/>
      <c r="X32" s="349"/>
      <c r="Y32" s="349"/>
    </row>
    <row r="33" spans="1:25" s="339" customFormat="1" ht="16.5" customHeight="1" x14ac:dyDescent="0.3">
      <c r="A33" s="353">
        <v>31</v>
      </c>
      <c r="B33" s="354" t="s">
        <v>189</v>
      </c>
      <c r="C33" s="354"/>
      <c r="D33" s="354"/>
      <c r="E33" s="349"/>
      <c r="F33" s="349"/>
      <c r="G33" s="349"/>
      <c r="H33" s="349"/>
      <c r="I33" s="349"/>
      <c r="J33" s="349"/>
      <c r="K33" s="349"/>
      <c r="L33" s="349"/>
      <c r="M33" s="349"/>
      <c r="N33" s="349"/>
      <c r="O33" s="349"/>
      <c r="P33" s="349"/>
      <c r="Q33" s="349"/>
      <c r="R33" s="349"/>
      <c r="S33" s="349"/>
      <c r="T33" s="349"/>
      <c r="U33" s="349"/>
      <c r="V33" s="349"/>
      <c r="W33" s="349"/>
      <c r="X33" s="349"/>
      <c r="Y33" s="349"/>
    </row>
    <row r="34" spans="1:25" ht="16.5" customHeight="1" x14ac:dyDescent="0.3">
      <c r="A34" s="347">
        <v>32</v>
      </c>
      <c r="B34" s="140" t="s">
        <v>461</v>
      </c>
      <c r="C34" s="345"/>
      <c r="D34" s="345"/>
    </row>
    <row r="35" spans="1:25" ht="16.5" customHeight="1" x14ac:dyDescent="0.3">
      <c r="A35" s="346">
        <v>33</v>
      </c>
      <c r="B35" s="354" t="s">
        <v>462</v>
      </c>
    </row>
    <row r="36" spans="1:25" ht="16.5" customHeight="1" x14ac:dyDescent="0.3">
      <c r="A36" s="346">
        <v>34</v>
      </c>
      <c r="B36" s="140" t="s">
        <v>463</v>
      </c>
    </row>
    <row r="37" spans="1:25" ht="16.5" customHeight="1" x14ac:dyDescent="0.3">
      <c r="A37" s="346">
        <v>35</v>
      </c>
      <c r="B37" s="23" t="s">
        <v>464</v>
      </c>
    </row>
    <row r="38" spans="1:25" ht="16.5" customHeight="1" x14ac:dyDescent="0.3">
      <c r="A38" s="346">
        <v>36</v>
      </c>
      <c r="B38" s="23" t="s">
        <v>465</v>
      </c>
    </row>
    <row r="39" spans="1:25" ht="16.5" customHeight="1" x14ac:dyDescent="0.3"/>
    <row r="41" spans="1:25" x14ac:dyDescent="0.3">
      <c r="A41" s="412" t="s">
        <v>467</v>
      </c>
    </row>
    <row r="42" spans="1:25" ht="14.4" x14ac:dyDescent="0.3">
      <c r="B42" s="411"/>
    </row>
  </sheetData>
  <sheetProtection formatCells="0" formatColumns="0" formatRows="0" insertColumns="0" insertRows="0"/>
  <customSheetViews>
    <customSheetView guid="{E65377FD-65C5-4E48-ADBC-1C49981F2400}" topLeftCell="A7">
      <selection activeCell="B28" sqref="B28"/>
      <pageMargins left="0.7" right="0.7" top="0.75" bottom="0.75" header="0.3" footer="0.3"/>
      <pageSetup orientation="portrait" r:id="rId1"/>
    </customSheetView>
  </customSheetViews>
  <mergeCells count="1">
    <mergeCell ref="B25:Y25"/>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E26"/>
  <sheetViews>
    <sheetView showGridLines="0" workbookViewId="0">
      <selection activeCell="B20" sqref="B20"/>
    </sheetView>
  </sheetViews>
  <sheetFormatPr defaultColWidth="9.109375" defaultRowHeight="14.4" x14ac:dyDescent="0.3"/>
  <cols>
    <col min="1" max="1" width="11.6640625" style="20" customWidth="1"/>
    <col min="2" max="2" width="42.33203125" style="339" customWidth="1"/>
    <col min="3" max="3" width="4.44140625" style="339" customWidth="1"/>
    <col min="4" max="4" width="11.6640625" style="339" customWidth="1"/>
    <col min="5" max="5" width="42.33203125" style="339" customWidth="1"/>
    <col min="6" max="16384" width="9.109375" style="339"/>
  </cols>
  <sheetData>
    <row r="1" spans="1:5" ht="33.6" x14ac:dyDescent="0.65">
      <c r="A1" s="373" t="s">
        <v>38</v>
      </c>
    </row>
    <row r="2" spans="1:5" x14ac:dyDescent="0.3">
      <c r="A2" s="24"/>
    </row>
    <row r="3" spans="1:5" ht="18" x14ac:dyDescent="0.35">
      <c r="A3" s="355" t="s">
        <v>157</v>
      </c>
      <c r="B3" s="356" t="s">
        <v>158</v>
      </c>
      <c r="C3" s="357"/>
      <c r="D3" s="355" t="s">
        <v>466</v>
      </c>
      <c r="E3" s="356" t="s">
        <v>39</v>
      </c>
    </row>
    <row r="4" spans="1:5" ht="18" x14ac:dyDescent="0.35">
      <c r="A4" s="355" t="s">
        <v>11</v>
      </c>
      <c r="B4" s="356" t="s">
        <v>54</v>
      </c>
      <c r="C4" s="357"/>
      <c r="D4" s="355" t="s">
        <v>44</v>
      </c>
      <c r="E4" s="356" t="s">
        <v>45</v>
      </c>
    </row>
    <row r="5" spans="1:5" ht="18" x14ac:dyDescent="0.35">
      <c r="A5" s="358" t="s">
        <v>193</v>
      </c>
      <c r="B5" s="359" t="s">
        <v>194</v>
      </c>
      <c r="C5" s="360"/>
      <c r="D5" s="355" t="s">
        <v>131</v>
      </c>
      <c r="E5" s="356" t="s">
        <v>133</v>
      </c>
    </row>
    <row r="6" spans="1:5" ht="18" x14ac:dyDescent="0.35">
      <c r="A6" s="361" t="s">
        <v>42</v>
      </c>
      <c r="B6" s="362" t="s">
        <v>43</v>
      </c>
      <c r="C6" s="360"/>
      <c r="D6" s="355" t="s">
        <v>132</v>
      </c>
      <c r="E6" s="356" t="s">
        <v>134</v>
      </c>
    </row>
    <row r="7" spans="1:5" ht="18" x14ac:dyDescent="0.35">
      <c r="A7" s="355" t="s">
        <v>12</v>
      </c>
      <c r="B7" s="356" t="s">
        <v>56</v>
      </c>
      <c r="C7" s="360"/>
      <c r="D7" s="355" t="s">
        <v>15</v>
      </c>
      <c r="E7" s="356" t="s">
        <v>50</v>
      </c>
    </row>
    <row r="8" spans="1:5" ht="18" x14ac:dyDescent="0.35">
      <c r="A8" s="355" t="s">
        <v>13</v>
      </c>
      <c r="B8" s="356" t="s">
        <v>53</v>
      </c>
      <c r="C8" s="360"/>
      <c r="D8" s="355" t="s">
        <v>69</v>
      </c>
      <c r="E8" s="356" t="s">
        <v>70</v>
      </c>
    </row>
    <row r="9" spans="1:5" ht="18" x14ac:dyDescent="0.35">
      <c r="A9" s="355" t="s">
        <v>51</v>
      </c>
      <c r="B9" s="356" t="s">
        <v>52</v>
      </c>
      <c r="C9" s="360"/>
      <c r="D9" s="355" t="s">
        <v>7</v>
      </c>
      <c r="E9" s="356" t="s">
        <v>55</v>
      </c>
    </row>
    <row r="10" spans="1:5" ht="18" x14ac:dyDescent="0.35">
      <c r="A10" s="358" t="s">
        <v>182</v>
      </c>
      <c r="B10" s="359" t="s">
        <v>183</v>
      </c>
      <c r="C10" s="360"/>
      <c r="D10" s="363" t="s">
        <v>141</v>
      </c>
      <c r="E10" s="364" t="s">
        <v>142</v>
      </c>
    </row>
    <row r="11" spans="1:5" ht="18" x14ac:dyDescent="0.35">
      <c r="A11" s="355" t="s">
        <v>46</v>
      </c>
      <c r="B11" s="356" t="s">
        <v>47</v>
      </c>
      <c r="C11" s="357"/>
      <c r="D11" s="355" t="s">
        <v>78</v>
      </c>
      <c r="E11" s="356" t="s">
        <v>144</v>
      </c>
    </row>
    <row r="12" spans="1:5" ht="18" x14ac:dyDescent="0.35">
      <c r="A12" s="355" t="s">
        <v>79</v>
      </c>
      <c r="B12" s="356" t="s">
        <v>112</v>
      </c>
      <c r="C12" s="357"/>
      <c r="D12" s="357"/>
      <c r="E12" s="357"/>
    </row>
    <row r="13" spans="1:5" ht="18" x14ac:dyDescent="0.35">
      <c r="A13" s="355" t="s">
        <v>9</v>
      </c>
      <c r="B13" s="356" t="s">
        <v>59</v>
      </c>
      <c r="C13" s="357"/>
      <c r="D13" s="357"/>
      <c r="E13" s="357"/>
    </row>
    <row r="14" spans="1:5" ht="18" x14ac:dyDescent="0.35">
      <c r="A14" s="355" t="s">
        <v>48</v>
      </c>
      <c r="B14" s="356" t="s">
        <v>49</v>
      </c>
      <c r="C14" s="357"/>
      <c r="D14" s="357"/>
      <c r="E14" s="357"/>
    </row>
    <row r="15" spans="1:5" ht="18" x14ac:dyDescent="0.35">
      <c r="A15" s="355" t="s">
        <v>71</v>
      </c>
      <c r="B15" s="356" t="s">
        <v>16</v>
      </c>
      <c r="C15" s="357"/>
      <c r="D15" s="357"/>
      <c r="E15" s="357"/>
    </row>
    <row r="16" spans="1:5" ht="18" x14ac:dyDescent="0.35">
      <c r="A16" s="355" t="s">
        <v>40</v>
      </c>
      <c r="B16" s="356" t="s">
        <v>41</v>
      </c>
      <c r="C16" s="357"/>
      <c r="D16" s="357"/>
      <c r="E16" s="357"/>
    </row>
    <row r="17" spans="1:5" ht="18" x14ac:dyDescent="0.35">
      <c r="A17" s="355" t="s">
        <v>10</v>
      </c>
      <c r="B17" s="356" t="s">
        <v>58</v>
      </c>
      <c r="C17" s="357"/>
      <c r="D17" s="357"/>
      <c r="E17" s="357"/>
    </row>
    <row r="18" spans="1:5" x14ac:dyDescent="0.3">
      <c r="A18" s="339"/>
    </row>
    <row r="19" spans="1:5" x14ac:dyDescent="0.3">
      <c r="A19" s="339"/>
    </row>
    <row r="20" spans="1:5" x14ac:dyDescent="0.3">
      <c r="A20" s="412" t="s">
        <v>467</v>
      </c>
    </row>
    <row r="21" spans="1:5" x14ac:dyDescent="0.3">
      <c r="A21" s="339"/>
    </row>
    <row r="22" spans="1:5" x14ac:dyDescent="0.3">
      <c r="A22" s="339"/>
    </row>
    <row r="23" spans="1:5" x14ac:dyDescent="0.3">
      <c r="A23" s="339"/>
    </row>
    <row r="24" spans="1:5" x14ac:dyDescent="0.3">
      <c r="A24" s="339"/>
    </row>
    <row r="25" spans="1:5" x14ac:dyDescent="0.3">
      <c r="A25" s="339"/>
      <c r="C25" s="10"/>
    </row>
    <row r="26" spans="1:5" x14ac:dyDescent="0.3">
      <c r="A26" s="339"/>
    </row>
  </sheetData>
  <sheetProtection formatCells="0" formatColumns="0" formatRows="0" insertColumns="0" insertRow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249977111117893"/>
  </sheetPr>
  <dimension ref="A1:J11"/>
  <sheetViews>
    <sheetView showGridLines="0" workbookViewId="0">
      <selection activeCell="B5" sqref="B5"/>
    </sheetView>
  </sheetViews>
  <sheetFormatPr defaultColWidth="9.109375" defaultRowHeight="14.4" x14ac:dyDescent="0.3"/>
  <cols>
    <col min="1" max="1" width="184.33203125" customWidth="1"/>
    <col min="2" max="2" width="12" customWidth="1"/>
  </cols>
  <sheetData>
    <row r="1" spans="1:10" s="342" customFormat="1" ht="30.75" customHeight="1" x14ac:dyDescent="0.6">
      <c r="A1" s="374" t="s">
        <v>440</v>
      </c>
    </row>
    <row r="2" spans="1:10" s="342" customFormat="1" ht="81.75" customHeight="1" thickBot="1" x14ac:dyDescent="0.35">
      <c r="A2" s="343" t="s">
        <v>442</v>
      </c>
    </row>
    <row r="3" spans="1:10" ht="287.25" customHeight="1" thickTop="1" thickBot="1" x14ac:dyDescent="0.35">
      <c r="A3" s="375" t="s">
        <v>446</v>
      </c>
    </row>
    <row r="4" spans="1:10" ht="15" thickTop="1" x14ac:dyDescent="0.3">
      <c r="A4" t="s">
        <v>441</v>
      </c>
    </row>
    <row r="5" spans="1:10" x14ac:dyDescent="0.3">
      <c r="A5" s="412" t="s">
        <v>467</v>
      </c>
    </row>
    <row r="7" spans="1:10" s="11" customFormat="1" ht="15" customHeight="1" x14ac:dyDescent="0.3"/>
    <row r="8" spans="1:10" s="11" customFormat="1" ht="19.5" customHeight="1" x14ac:dyDescent="0.3">
      <c r="C8" s="23"/>
      <c r="D8" s="23"/>
      <c r="E8" s="23"/>
      <c r="F8" s="23"/>
      <c r="G8" s="23"/>
      <c r="H8" s="23"/>
      <c r="I8" s="23"/>
      <c r="J8" s="23"/>
    </row>
    <row r="9" spans="1:10" s="11" customFormat="1" ht="16.5" customHeight="1" x14ac:dyDescent="0.3">
      <c r="C9" s="23"/>
      <c r="D9" s="23"/>
      <c r="E9" s="23"/>
      <c r="F9" s="23"/>
      <c r="G9" s="23"/>
      <c r="H9" s="23"/>
      <c r="I9" s="23"/>
      <c r="J9" s="23"/>
    </row>
    <row r="10" spans="1:10" s="11" customFormat="1" ht="15.75" customHeight="1" x14ac:dyDescent="0.3">
      <c r="C10" s="23"/>
      <c r="D10" s="23"/>
      <c r="E10" s="23"/>
      <c r="F10" s="23"/>
      <c r="G10" s="23"/>
      <c r="H10" s="23"/>
      <c r="I10" s="23"/>
      <c r="J10" s="23"/>
    </row>
    <row r="11" spans="1:10" ht="17.25" customHeight="1" x14ac:dyDescent="0.3"/>
  </sheetData>
  <customSheetViews>
    <customSheetView guid="{E65377FD-65C5-4E48-ADBC-1C49981F2400}">
      <selection activeCell="B3" sqref="B3:P3"/>
      <pageMargins left="0.7" right="0.7" top="0.75" bottom="0.75" header="0.3" footer="0.3"/>
      <pageSetup orientation="portrait" r:id="rId1"/>
    </customSheetView>
  </customSheetView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U68"/>
  <sheetViews>
    <sheetView showGridLines="0" zoomScaleNormal="100" workbookViewId="0">
      <selection activeCell="B59" sqref="B59"/>
    </sheetView>
  </sheetViews>
  <sheetFormatPr defaultColWidth="9.109375" defaultRowHeight="14.4" x14ac:dyDescent="0.3"/>
  <cols>
    <col min="1" max="1" width="32.6640625" bestFit="1" customWidth="1"/>
    <col min="2" max="2" width="15" customWidth="1"/>
    <col min="3" max="3" width="15.33203125" customWidth="1"/>
    <col min="4" max="4" width="11.33203125" customWidth="1"/>
    <col min="5" max="5" width="12" customWidth="1"/>
    <col min="6" max="6" width="9.109375" customWidth="1"/>
    <col min="7" max="7" width="15.44140625" bestFit="1" customWidth="1"/>
    <col min="8" max="8" width="14.6640625" customWidth="1"/>
    <col min="9" max="9" width="9.88671875" bestFit="1" customWidth="1"/>
    <col min="10" max="10" width="10.44140625" customWidth="1"/>
    <col min="11" max="11" width="8.33203125" customWidth="1"/>
    <col min="13" max="13" width="26" customWidth="1"/>
    <col min="15" max="15" width="11.33203125" customWidth="1"/>
  </cols>
  <sheetData>
    <row r="1" spans="1:19" ht="33.6" x14ac:dyDescent="0.65">
      <c r="A1" s="371" t="s">
        <v>425</v>
      </c>
      <c r="B1" s="11"/>
      <c r="C1" s="11"/>
      <c r="D1" s="11"/>
      <c r="E1" s="11"/>
      <c r="F1" s="11"/>
      <c r="G1" s="11"/>
      <c r="H1" s="11"/>
      <c r="I1" s="11"/>
    </row>
    <row r="2" spans="1:19" s="280" customFormat="1" x14ac:dyDescent="0.3">
      <c r="A2" s="278"/>
      <c r="B2" s="279"/>
      <c r="C2" s="279"/>
      <c r="D2" s="279"/>
      <c r="E2" s="279"/>
      <c r="F2" s="279"/>
      <c r="G2" s="279"/>
      <c r="H2" s="279"/>
      <c r="I2" s="279"/>
    </row>
    <row r="3" spans="1:19" s="280" customFormat="1" x14ac:dyDescent="0.3">
      <c r="A3" s="299" t="s">
        <v>423</v>
      </c>
      <c r="B3" s="300"/>
      <c r="C3" s="300"/>
      <c r="D3" s="300"/>
      <c r="E3" s="300"/>
      <c r="F3" s="279"/>
      <c r="G3" s="279"/>
      <c r="H3" s="279"/>
      <c r="I3" s="279"/>
    </row>
    <row r="4" spans="1:19" s="280" customFormat="1" ht="15.6" x14ac:dyDescent="0.35">
      <c r="A4" s="301"/>
      <c r="B4" s="302" t="s">
        <v>358</v>
      </c>
      <c r="C4" s="301" t="s">
        <v>359</v>
      </c>
      <c r="D4" s="302" t="s">
        <v>360</v>
      </c>
      <c r="E4" s="300"/>
      <c r="F4" s="279"/>
      <c r="G4" s="279"/>
      <c r="H4" s="279" t="str">
        <f>A5</f>
        <v>Land clearing</v>
      </c>
      <c r="I4" s="326">
        <f>B5</f>
        <v>0</v>
      </c>
    </row>
    <row r="5" spans="1:19" s="280" customFormat="1" x14ac:dyDescent="0.3">
      <c r="A5" s="301" t="s">
        <v>67</v>
      </c>
      <c r="B5" s="303">
        <f>'1. LUC emissions'!C60</f>
        <v>0</v>
      </c>
      <c r="C5" s="304" t="e">
        <f>B5/'1. LUC emissions'!C$59</f>
        <v>#DIV/0!</v>
      </c>
      <c r="D5" s="305" t="e">
        <f>B5/'2. FFB Production'!B$8</f>
        <v>#DIV/0!</v>
      </c>
      <c r="E5" s="300"/>
      <c r="F5" s="279"/>
      <c r="G5" s="279"/>
      <c r="H5" s="279" t="str">
        <f>A6</f>
        <v>Crop sequestration</v>
      </c>
      <c r="I5" s="326">
        <f>B6</f>
        <v>0</v>
      </c>
    </row>
    <row r="6" spans="1:19" s="280" customFormat="1" x14ac:dyDescent="0.3">
      <c r="A6" s="301" t="s">
        <v>17</v>
      </c>
      <c r="B6" s="303">
        <f>0-('8. Crop sequestration'!Q31*'1. LUC emissions'!C59)</f>
        <v>0</v>
      </c>
      <c r="C6" s="304" t="e">
        <f>B6/'1. LUC emissions'!C$59</f>
        <v>#DIV/0!</v>
      </c>
      <c r="D6" s="305" t="e">
        <f>B6/'2. FFB Production'!B$8</f>
        <v>#DIV/0!</v>
      </c>
      <c r="E6" s="300"/>
      <c r="F6" s="279"/>
      <c r="G6" s="279"/>
      <c r="H6" s="279" t="s">
        <v>426</v>
      </c>
      <c r="I6" s="326" t="e">
        <f>B7+B8</f>
        <v>#DIV/0!</v>
      </c>
    </row>
    <row r="7" spans="1:19" s="280" customFormat="1" x14ac:dyDescent="0.3">
      <c r="A7" s="301" t="s">
        <v>2</v>
      </c>
      <c r="B7" s="303">
        <f>'6. Fertiliser and N2O'!G54+'6. Fertiliser and N2O'!I54</f>
        <v>0</v>
      </c>
      <c r="C7" s="304" t="e">
        <f>B7/'1. LUC emissions'!C$59</f>
        <v>#DIV/0!</v>
      </c>
      <c r="D7" s="305" t="e">
        <f>B7/'2. FFB Production'!B$8</f>
        <v>#DIV/0!</v>
      </c>
      <c r="E7" s="300"/>
      <c r="F7" s="279"/>
      <c r="G7" s="279"/>
      <c r="H7" s="279" t="str">
        <f t="shared" ref="H7:I9" si="0">A9</f>
        <v>Field fuel</v>
      </c>
      <c r="I7" s="326">
        <f t="shared" si="0"/>
        <v>0</v>
      </c>
    </row>
    <row r="8" spans="1:19" s="280" customFormat="1" x14ac:dyDescent="0.3">
      <c r="A8" s="301" t="s">
        <v>14</v>
      </c>
      <c r="B8" s="303" t="e">
        <f>'6. Fertiliser and N2O'!E94</f>
        <v>#DIV/0!</v>
      </c>
      <c r="C8" s="304" t="e">
        <f>B8/'1. LUC emissions'!C$59</f>
        <v>#DIV/0!</v>
      </c>
      <c r="D8" s="305" t="e">
        <f>B8/'2. FFB Production'!B$8</f>
        <v>#DIV/0!</v>
      </c>
      <c r="E8" s="300"/>
      <c r="F8" s="279"/>
      <c r="G8" s="279"/>
      <c r="H8" s="279" t="str">
        <f t="shared" si="0"/>
        <v xml:space="preserve">Peat </v>
      </c>
      <c r="I8" s="326">
        <f t="shared" si="0"/>
        <v>0</v>
      </c>
    </row>
    <row r="9" spans="1:19" s="280" customFormat="1" x14ac:dyDescent="0.3">
      <c r="A9" s="301" t="s">
        <v>175</v>
      </c>
      <c r="B9" s="303">
        <f>'3. Field fuel'!C17</f>
        <v>0</v>
      </c>
      <c r="C9" s="304" t="e">
        <f>B9/'1. LUC emissions'!C$59</f>
        <v>#DIV/0!</v>
      </c>
      <c r="D9" s="305" t="e">
        <f>B9/'2. FFB Production'!B$8</f>
        <v>#DIV/0!</v>
      </c>
      <c r="E9" s="300"/>
      <c r="F9" s="279"/>
      <c r="G9" s="279"/>
      <c r="H9" s="279" t="str">
        <f t="shared" si="0"/>
        <v>Conservation credit</v>
      </c>
      <c r="I9" s="326">
        <f t="shared" si="0"/>
        <v>0</v>
      </c>
    </row>
    <row r="10" spans="1:19" s="280" customFormat="1" x14ac:dyDescent="0.3">
      <c r="A10" s="301" t="s">
        <v>161</v>
      </c>
      <c r="B10" s="303">
        <f>'4. Peat'!B18</f>
        <v>0</v>
      </c>
      <c r="C10" s="304" t="e">
        <f>B10/'1. LUC emissions'!C$59</f>
        <v>#DIV/0!</v>
      </c>
      <c r="D10" s="305" t="e">
        <f>B10/'2. FFB Production'!B$8</f>
        <v>#DIV/0!</v>
      </c>
      <c r="E10" s="300"/>
      <c r="F10" s="279"/>
      <c r="G10" s="279"/>
      <c r="H10" s="279"/>
      <c r="I10" s="279"/>
    </row>
    <row r="11" spans="1:19" s="280" customFormat="1" x14ac:dyDescent="0.3">
      <c r="A11" s="301" t="s">
        <v>165</v>
      </c>
      <c r="B11" s="303">
        <f>0-'7. Conservation Area seq'!C8</f>
        <v>0</v>
      </c>
      <c r="C11" s="304" t="e">
        <f>B11/'1. LUC emissions'!C$59</f>
        <v>#DIV/0!</v>
      </c>
      <c r="D11" s="305" t="e">
        <f>B11/'2. FFB Production'!B$8</f>
        <v>#DIV/0!</v>
      </c>
      <c r="E11" s="300"/>
      <c r="F11" s="279"/>
      <c r="G11" s="279"/>
      <c r="H11" s="279"/>
      <c r="I11" s="279"/>
    </row>
    <row r="12" spans="1:19" ht="15" thickBot="1" x14ac:dyDescent="0.35">
      <c r="A12" s="306" t="s">
        <v>5</v>
      </c>
      <c r="B12" s="307" t="e">
        <f>SUM(B5:B11)</f>
        <v>#DIV/0!</v>
      </c>
      <c r="C12" s="307" t="e">
        <f>B12/'1. LUC emissions'!C59</f>
        <v>#DIV/0!</v>
      </c>
      <c r="D12" s="308" t="e">
        <f>B12/'2. FFB Production'!B$8</f>
        <v>#DIV/0!</v>
      </c>
      <c r="E12" s="301"/>
      <c r="M12" s="152"/>
      <c r="N12" s="152"/>
      <c r="O12" s="152"/>
      <c r="P12" s="152"/>
      <c r="Q12" s="152"/>
      <c r="R12" s="152"/>
      <c r="S12" s="152"/>
    </row>
    <row r="13" spans="1:19" s="312" customFormat="1" ht="15" thickTop="1" x14ac:dyDescent="0.3">
      <c r="A13" s="314"/>
      <c r="B13" s="315"/>
      <c r="C13" s="315"/>
      <c r="D13" s="316"/>
      <c r="E13" s="301"/>
      <c r="M13" s="152"/>
      <c r="N13" s="152"/>
      <c r="O13" s="152"/>
      <c r="P13" s="152"/>
      <c r="Q13" s="152"/>
      <c r="R13" s="152"/>
      <c r="S13" s="152"/>
    </row>
    <row r="14" spans="1:19" s="312" customFormat="1" x14ac:dyDescent="0.3">
      <c r="A14" s="317"/>
      <c r="B14" s="318"/>
      <c r="C14" s="318"/>
      <c r="D14" s="319"/>
      <c r="E14" s="152"/>
      <c r="M14" s="152"/>
      <c r="N14" s="152"/>
      <c r="O14" s="152"/>
      <c r="P14" s="152"/>
      <c r="Q14" s="152"/>
      <c r="R14" s="152"/>
      <c r="S14" s="152"/>
    </row>
    <row r="15" spans="1:19" s="312" customFormat="1" x14ac:dyDescent="0.3">
      <c r="A15" s="317"/>
      <c r="B15" s="318"/>
      <c r="C15" s="318"/>
      <c r="D15" s="319"/>
      <c r="E15" s="152"/>
      <c r="M15" s="152"/>
      <c r="N15" s="152"/>
      <c r="O15" s="152"/>
      <c r="P15" s="152"/>
      <c r="Q15" s="152"/>
      <c r="R15" s="152"/>
      <c r="S15" s="152"/>
    </row>
    <row r="16" spans="1:19" s="312" customFormat="1" x14ac:dyDescent="0.3">
      <c r="A16" s="317"/>
      <c r="B16" s="318"/>
      <c r="C16" s="318"/>
      <c r="D16" s="319"/>
      <c r="E16" s="152"/>
      <c r="M16" s="152"/>
      <c r="N16" s="152"/>
      <c r="O16" s="152"/>
      <c r="P16" s="152"/>
      <c r="Q16" s="152"/>
      <c r="R16" s="152"/>
      <c r="S16" s="152"/>
    </row>
    <row r="17" spans="1:19" s="312" customFormat="1" x14ac:dyDescent="0.3">
      <c r="A17" s="317"/>
      <c r="B17" s="318"/>
      <c r="C17" s="318"/>
      <c r="D17" s="319"/>
      <c r="E17" s="152"/>
      <c r="M17" s="152"/>
      <c r="N17" s="152"/>
      <c r="O17" s="152"/>
      <c r="P17" s="152"/>
      <c r="Q17" s="152"/>
      <c r="R17" s="152"/>
      <c r="S17" s="152"/>
    </row>
    <row r="18" spans="1:19" s="325" customFormat="1" ht="15" thickBot="1" x14ac:dyDescent="0.35">
      <c r="A18" s="321"/>
      <c r="B18" s="322"/>
      <c r="C18" s="322"/>
      <c r="D18" s="323"/>
      <c r="E18" s="324"/>
      <c r="M18" s="324"/>
      <c r="N18" s="324"/>
      <c r="O18" s="324"/>
      <c r="P18" s="324"/>
      <c r="Q18" s="324"/>
      <c r="R18" s="324"/>
      <c r="S18" s="324"/>
    </row>
    <row r="19" spans="1:19" s="312" customFormat="1" ht="15" thickTop="1" x14ac:dyDescent="0.3">
      <c r="A19" s="311" t="s">
        <v>336</v>
      </c>
      <c r="B19" s="318"/>
      <c r="C19" s="318"/>
      <c r="D19" s="319"/>
      <c r="E19" s="152"/>
      <c r="M19" s="152"/>
      <c r="N19" s="152"/>
      <c r="O19" s="152"/>
      <c r="P19" s="152"/>
      <c r="Q19" s="152"/>
      <c r="R19" s="152"/>
      <c r="S19" s="152"/>
    </row>
    <row r="20" spans="1:19" ht="15" thickBot="1" x14ac:dyDescent="0.35">
      <c r="A20" s="152"/>
      <c r="B20" s="320"/>
      <c r="C20" s="320"/>
      <c r="D20" s="152"/>
      <c r="E20" s="152"/>
      <c r="G20" s="7" t="s">
        <v>350</v>
      </c>
      <c r="J20" s="242"/>
      <c r="K20" s="243"/>
      <c r="M20" s="152"/>
      <c r="N20" s="153"/>
      <c r="O20" s="153"/>
      <c r="P20" s="153"/>
      <c r="Q20" s="152"/>
      <c r="R20" s="152"/>
      <c r="S20" s="152"/>
    </row>
    <row r="21" spans="1:19" ht="16.2" thickBot="1" x14ac:dyDescent="0.4">
      <c r="B21" s="9"/>
      <c r="C21" s="9"/>
      <c r="G21" s="206" t="s">
        <v>168</v>
      </c>
      <c r="H21" s="246" t="s">
        <v>364</v>
      </c>
      <c r="J21" s="242"/>
      <c r="K21" s="244"/>
      <c r="M21" s="152"/>
      <c r="N21" s="153"/>
      <c r="O21" s="153"/>
      <c r="P21" s="153"/>
      <c r="Q21" s="152"/>
      <c r="R21" s="152"/>
      <c r="S21" s="152"/>
    </row>
    <row r="22" spans="1:19" x14ac:dyDescent="0.3">
      <c r="A22" s="7"/>
      <c r="G22" s="247" t="s">
        <v>42</v>
      </c>
      <c r="H22" s="248" t="e">
        <f>B46</f>
        <v>#DIV/0!</v>
      </c>
      <c r="J22" s="242"/>
      <c r="K22" s="245"/>
      <c r="M22" s="152"/>
      <c r="N22" s="152"/>
      <c r="O22" s="152"/>
      <c r="P22" s="152"/>
      <c r="Q22" s="152"/>
      <c r="R22" s="152"/>
      <c r="S22" s="152"/>
    </row>
    <row r="23" spans="1:19" ht="15" thickBot="1" x14ac:dyDescent="0.35">
      <c r="A23" s="418" t="s">
        <v>424</v>
      </c>
      <c r="B23" s="418"/>
      <c r="C23" s="418"/>
      <c r="D23" s="418"/>
      <c r="E23" s="418"/>
      <c r="F23" s="419"/>
      <c r="G23" s="249" t="s">
        <v>44</v>
      </c>
      <c r="H23" s="273" t="e">
        <f>B47</f>
        <v>#DIV/0!</v>
      </c>
      <c r="J23" s="242"/>
      <c r="K23" s="245"/>
      <c r="M23" s="152"/>
      <c r="N23" s="153"/>
      <c r="O23" s="153"/>
      <c r="P23" s="154"/>
      <c r="Q23" s="152"/>
      <c r="R23" s="152"/>
      <c r="S23" s="152"/>
    </row>
    <row r="24" spans="1:19" ht="15.6" x14ac:dyDescent="0.35">
      <c r="B24" s="36" t="s">
        <v>358</v>
      </c>
      <c r="C24" t="s">
        <v>359</v>
      </c>
      <c r="D24" s="36" t="s">
        <v>360</v>
      </c>
      <c r="F24" s="152"/>
      <c r="G24" s="152"/>
      <c r="H24" s="152"/>
      <c r="J24" s="242"/>
      <c r="K24" s="245"/>
      <c r="M24" s="152"/>
      <c r="N24" s="153"/>
      <c r="O24" s="153"/>
      <c r="P24" s="154"/>
      <c r="Q24" s="152"/>
      <c r="R24" s="152"/>
      <c r="S24" s="152"/>
    </row>
    <row r="25" spans="1:19" x14ac:dyDescent="0.3">
      <c r="A25" t="s">
        <v>67</v>
      </c>
      <c r="B25" s="61">
        <f>'1. LUC emissions'!C60</f>
        <v>0</v>
      </c>
      <c r="C25" s="31" t="e">
        <f>B25/'1. LUC emissions'!C$59</f>
        <v>#DIV/0!</v>
      </c>
      <c r="D25" s="3" t="e">
        <f>B25/'2. FFB Production'!B$8</f>
        <v>#DIV/0!</v>
      </c>
      <c r="E25" s="3"/>
      <c r="F25" s="221"/>
      <c r="G25" s="222"/>
      <c r="H25" s="222"/>
      <c r="J25" s="242"/>
      <c r="K25" s="245"/>
      <c r="M25" s="152"/>
      <c r="N25" s="153"/>
      <c r="O25" s="153"/>
      <c r="P25" s="154"/>
      <c r="Q25" s="152"/>
      <c r="R25" s="152"/>
      <c r="S25" s="152"/>
    </row>
    <row r="26" spans="1:19" x14ac:dyDescent="0.3">
      <c r="A26" t="s">
        <v>17</v>
      </c>
      <c r="B26" s="61"/>
      <c r="C26" s="31" t="e">
        <f>B26/'1. LUC emissions'!C$59</f>
        <v>#DIV/0!</v>
      </c>
      <c r="D26" s="3" t="e">
        <f>B26/'2. FFB Production'!B$8</f>
        <v>#DIV/0!</v>
      </c>
      <c r="E26" s="3"/>
      <c r="F26" s="221"/>
      <c r="G26" s="222"/>
      <c r="H26" s="222"/>
      <c r="M26" s="152"/>
      <c r="N26" s="153"/>
      <c r="O26" s="153"/>
      <c r="P26" s="154"/>
      <c r="Q26" s="152"/>
      <c r="R26" s="152"/>
      <c r="S26" s="152"/>
    </row>
    <row r="27" spans="1:19" x14ac:dyDescent="0.3">
      <c r="A27" t="s">
        <v>2</v>
      </c>
      <c r="B27" s="61">
        <f>'6. Fertiliser and N2O'!G54+'6. Fertiliser and N2O'!I54</f>
        <v>0</v>
      </c>
      <c r="C27" s="31" t="e">
        <f>B27/'1. LUC emissions'!C$59</f>
        <v>#DIV/0!</v>
      </c>
      <c r="D27" s="3" t="e">
        <f>B27/'2. FFB Production'!B$8</f>
        <v>#DIV/0!</v>
      </c>
      <c r="E27" s="3"/>
      <c r="F27" s="221"/>
      <c r="G27" s="222"/>
      <c r="H27" s="222"/>
      <c r="M27" s="152"/>
      <c r="N27" s="153"/>
      <c r="O27" s="153"/>
      <c r="P27" s="154"/>
      <c r="Q27" s="152"/>
      <c r="R27" s="152"/>
      <c r="S27" s="152"/>
    </row>
    <row r="28" spans="1:19" x14ac:dyDescent="0.3">
      <c r="A28" t="s">
        <v>14</v>
      </c>
      <c r="B28" s="61" t="e">
        <f>'6. Fertiliser and N2O'!E94</f>
        <v>#DIV/0!</v>
      </c>
      <c r="C28" s="31" t="e">
        <f>B28/'1. LUC emissions'!C$59</f>
        <v>#DIV/0!</v>
      </c>
      <c r="D28" s="3" t="e">
        <f>B28/'2. FFB Production'!B$8</f>
        <v>#DIV/0!</v>
      </c>
      <c r="E28" s="3"/>
      <c r="F28" s="221"/>
      <c r="G28" s="152"/>
      <c r="H28" s="152" t="s">
        <v>166</v>
      </c>
      <c r="M28" s="152"/>
      <c r="N28" s="152"/>
      <c r="O28" s="152"/>
      <c r="P28" s="152"/>
      <c r="Q28" s="152"/>
      <c r="R28" s="152"/>
      <c r="S28" s="152"/>
    </row>
    <row r="29" spans="1:19" x14ac:dyDescent="0.3">
      <c r="A29" t="s">
        <v>175</v>
      </c>
      <c r="B29" s="61">
        <f>'3. Field fuel'!C17</f>
        <v>0</v>
      </c>
      <c r="C29" s="31" t="e">
        <f>B29/'1. LUC emissions'!C$59</f>
        <v>#DIV/0!</v>
      </c>
      <c r="D29" s="3" t="e">
        <f>B29/'2. FFB Production'!B$8</f>
        <v>#DIV/0!</v>
      </c>
      <c r="E29" s="3"/>
      <c r="F29" s="221"/>
      <c r="G29" t="str">
        <f>A25</f>
        <v>Land clearing</v>
      </c>
      <c r="H29" s="137">
        <f>B25</f>
        <v>0</v>
      </c>
      <c r="O29" s="152"/>
      <c r="P29" s="152"/>
      <c r="Q29" s="152"/>
      <c r="R29" s="152"/>
    </row>
    <row r="30" spans="1:19" x14ac:dyDescent="0.3">
      <c r="A30" t="s">
        <v>161</v>
      </c>
      <c r="B30" s="61">
        <f>'4. Peat'!B18</f>
        <v>0</v>
      </c>
      <c r="C30" s="31" t="e">
        <f>B30/'1. LUC emissions'!C$59</f>
        <v>#DIV/0!</v>
      </c>
      <c r="D30" s="3" t="e">
        <f>B30/'2. FFB Production'!B$8</f>
        <v>#DIV/0!</v>
      </c>
      <c r="E30" s="3"/>
      <c r="F30" s="221"/>
      <c r="G30" t="str">
        <f>A26</f>
        <v>Crop sequestration</v>
      </c>
      <c r="H30" s="137">
        <f>B26</f>
        <v>0</v>
      </c>
    </row>
    <row r="31" spans="1:19" x14ac:dyDescent="0.3">
      <c r="A31" t="s">
        <v>165</v>
      </c>
      <c r="B31" s="61">
        <f>0-'7. Conservation Area seq'!C8</f>
        <v>0</v>
      </c>
      <c r="C31" s="31" t="e">
        <f>B31/'1. LUC emissions'!C$59</f>
        <v>#DIV/0!</v>
      </c>
      <c r="D31" s="3" t="e">
        <f>B31/'2. FFB Production'!B$8</f>
        <v>#DIV/0!</v>
      </c>
      <c r="E31" s="3"/>
      <c r="F31" s="221"/>
      <c r="G31" t="str">
        <f>A30</f>
        <v xml:space="preserve">Peat </v>
      </c>
      <c r="H31" s="137">
        <f>B30</f>
        <v>0</v>
      </c>
    </row>
    <row r="32" spans="1:19" ht="15" thickBot="1" x14ac:dyDescent="0.35">
      <c r="A32" s="268" t="s">
        <v>5</v>
      </c>
      <c r="B32" s="238" t="e">
        <f>SUM(B25:B31)</f>
        <v>#DIV/0!</v>
      </c>
      <c r="C32" s="238" t="e">
        <f>B32/'1. LUC emissions'!C59</f>
        <v>#DIV/0!</v>
      </c>
      <c r="D32" s="239" t="e">
        <f>B32/'2. FFB Production'!B$8</f>
        <v>#DIV/0!</v>
      </c>
      <c r="E32" s="3"/>
      <c r="F32" s="223"/>
      <c r="G32" t="s">
        <v>426</v>
      </c>
      <c r="H32" s="137" t="e">
        <f>B27+B28</f>
        <v>#DIV/0!</v>
      </c>
    </row>
    <row r="33" spans="1:8" ht="15" thickTop="1" x14ac:dyDescent="0.3">
      <c r="A33" s="22"/>
      <c r="C33" s="61"/>
      <c r="G33" t="str">
        <f>A31</f>
        <v>Conservation credit</v>
      </c>
      <c r="H33" s="137">
        <f>B31</f>
        <v>0</v>
      </c>
    </row>
    <row r="34" spans="1:8" x14ac:dyDescent="0.3">
      <c r="B34" s="30"/>
      <c r="C34" s="61"/>
      <c r="G34" t="str">
        <f>A36</f>
        <v>POME</v>
      </c>
      <c r="H34" s="137">
        <f>B36</f>
        <v>0</v>
      </c>
    </row>
    <row r="35" spans="1:8" ht="15.6" x14ac:dyDescent="0.35">
      <c r="A35" s="7" t="s">
        <v>347</v>
      </c>
      <c r="B35" s="240" t="s">
        <v>361</v>
      </c>
      <c r="C35" s="36" t="s">
        <v>359</v>
      </c>
      <c r="D35" s="36" t="s">
        <v>362</v>
      </c>
      <c r="G35" t="s">
        <v>351</v>
      </c>
      <c r="H35" s="137">
        <f>B29+B37</f>
        <v>0</v>
      </c>
    </row>
    <row r="36" spans="1:8" x14ac:dyDescent="0.3">
      <c r="A36" t="s">
        <v>15</v>
      </c>
      <c r="B36" s="61">
        <f>'9. Mill data'!B61</f>
        <v>0</v>
      </c>
      <c r="C36" s="31" t="e">
        <f>B36/'1. LUC emissions'!C$59</f>
        <v>#DIV/0!</v>
      </c>
      <c r="D36" s="31" t="e">
        <f>B36/'9. Mill data'!B$6</f>
        <v>#DIV/0!</v>
      </c>
      <c r="E36" s="145">
        <f>B29+B37</f>
        <v>0</v>
      </c>
      <c r="G36" t="str">
        <f>A38</f>
        <v xml:space="preserve">Purchased electricity </v>
      </c>
      <c r="H36" s="137">
        <f>B38</f>
        <v>0</v>
      </c>
    </row>
    <row r="37" spans="1:8" x14ac:dyDescent="0.3">
      <c r="A37" t="s">
        <v>176</v>
      </c>
      <c r="B37" s="61">
        <f>'9. Mill data'!B23</f>
        <v>0</v>
      </c>
      <c r="C37" s="31" t="e">
        <f>B37/'1. LUC emissions'!C$59</f>
        <v>#DIV/0!</v>
      </c>
      <c r="D37" s="31" t="e">
        <f>B37/'9. Mill data'!B$6</f>
        <v>#DIV/0!</v>
      </c>
      <c r="G37" t="s">
        <v>352</v>
      </c>
      <c r="H37" s="137">
        <f>SUM(B39:B40)</f>
        <v>0</v>
      </c>
    </row>
    <row r="38" spans="1:8" x14ac:dyDescent="0.3">
      <c r="A38" s="152" t="s">
        <v>344</v>
      </c>
      <c r="B38" s="61">
        <f>'9. Mill data'!B67</f>
        <v>0</v>
      </c>
      <c r="C38" s="31" t="e">
        <f>B38/'1. LUC emissions'!C$59</f>
        <v>#DIV/0!</v>
      </c>
      <c r="D38" s="31" t="e">
        <f>B38/'9. Mill data'!B$6</f>
        <v>#DIV/0!</v>
      </c>
    </row>
    <row r="39" spans="1:8" x14ac:dyDescent="0.3">
      <c r="A39" s="152" t="s">
        <v>345</v>
      </c>
      <c r="B39" s="61">
        <f>0-'9. Mill data'!B68</f>
        <v>0</v>
      </c>
      <c r="C39" s="31" t="e">
        <f>B39/'1. LUC emissions'!C$59</f>
        <v>#DIV/0!</v>
      </c>
      <c r="D39" s="31" t="e">
        <f>B39/'9. Mill data'!B$6</f>
        <v>#DIV/0!</v>
      </c>
    </row>
    <row r="40" spans="1:8" x14ac:dyDescent="0.3">
      <c r="A40" s="152" t="s">
        <v>346</v>
      </c>
      <c r="B40" s="61">
        <f>0-('9. Mill data'!B73+'9. Mill data'!B81)</f>
        <v>0</v>
      </c>
      <c r="C40" s="31" t="e">
        <f>B40/'1. LUC emissions'!C$59</f>
        <v>#DIV/0!</v>
      </c>
      <c r="D40" s="31" t="e">
        <f>B40/'9. Mill data'!B$6</f>
        <v>#DIV/0!</v>
      </c>
    </row>
    <row r="41" spans="1:8" ht="15" thickBot="1" x14ac:dyDescent="0.35">
      <c r="A41" s="268" t="s">
        <v>363</v>
      </c>
      <c r="B41" s="238">
        <f>SUM(B36:B40)</f>
        <v>0</v>
      </c>
      <c r="C41" s="238" t="e">
        <f>B41/'1. LUC emissions'!C$59</f>
        <v>#DIV/0!</v>
      </c>
      <c r="D41" s="238" t="e">
        <f>B41/'9. Mill data'!B$6</f>
        <v>#DIV/0!</v>
      </c>
      <c r="E41" s="145"/>
    </row>
    <row r="42" spans="1:8" ht="15" thickTop="1" x14ac:dyDescent="0.3">
      <c r="C42" s="61"/>
    </row>
    <row r="43" spans="1:8" ht="15.6" x14ac:dyDescent="0.35">
      <c r="A43" s="269" t="s">
        <v>365</v>
      </c>
      <c r="B43" s="30" t="e">
        <f>B32+B41</f>
        <v>#DIV/0!</v>
      </c>
      <c r="C43" s="61"/>
      <c r="D43" s="31"/>
    </row>
    <row r="44" spans="1:8" x14ac:dyDescent="0.3">
      <c r="A44" s="60"/>
    </row>
    <row r="45" spans="1:8" x14ac:dyDescent="0.3">
      <c r="A45" s="269" t="s">
        <v>162</v>
      </c>
      <c r="C45" s="31"/>
    </row>
    <row r="46" spans="1:8" ht="15.6" x14ac:dyDescent="0.35">
      <c r="A46" t="s">
        <v>366</v>
      </c>
      <c r="B46" s="31" t="e">
        <f>B43*'Allocation to crop products'!B9/100/'9. Mill data'!B9</f>
        <v>#DIV/0!</v>
      </c>
      <c r="C46" s="31"/>
    </row>
    <row r="47" spans="1:8" ht="15.6" x14ac:dyDescent="0.35">
      <c r="A47" t="s">
        <v>367</v>
      </c>
      <c r="B47" s="31" t="e">
        <f>B43*'Allocation to crop products'!B10/100/'9. Mill data'!B10</f>
        <v>#DIV/0!</v>
      </c>
    </row>
    <row r="49" spans="1:21" x14ac:dyDescent="0.3">
      <c r="A49" s="7"/>
      <c r="B49" s="30"/>
      <c r="C49" s="30"/>
    </row>
    <row r="50" spans="1:21" x14ac:dyDescent="0.3">
      <c r="A50" s="60"/>
      <c r="B50" s="1"/>
      <c r="C50" s="1"/>
    </row>
    <row r="51" spans="1:21" x14ac:dyDescent="0.3">
      <c r="B51" s="31"/>
      <c r="C51" s="31"/>
    </row>
    <row r="52" spans="1:21" x14ac:dyDescent="0.3">
      <c r="B52" s="31"/>
      <c r="C52" s="31"/>
    </row>
    <row r="59" spans="1:21" x14ac:dyDescent="0.3">
      <c r="A59" s="412" t="s">
        <v>467</v>
      </c>
      <c r="U59" s="137"/>
    </row>
    <row r="60" spans="1:21" x14ac:dyDescent="0.3">
      <c r="U60" s="137"/>
    </row>
    <row r="61" spans="1:21" x14ac:dyDescent="0.3">
      <c r="U61" s="137"/>
    </row>
    <row r="63" spans="1:21" x14ac:dyDescent="0.3">
      <c r="G63" s="312" t="str">
        <f>A25</f>
        <v>Land clearing</v>
      </c>
      <c r="H63" s="61">
        <f>B25</f>
        <v>0</v>
      </c>
    </row>
    <row r="64" spans="1:21" x14ac:dyDescent="0.3">
      <c r="G64" s="312" t="str">
        <f>A26</f>
        <v>Crop sequestration</v>
      </c>
      <c r="H64" s="61">
        <f>B26</f>
        <v>0</v>
      </c>
    </row>
    <row r="65" spans="7:8" x14ac:dyDescent="0.3">
      <c r="G65" s="312" t="s">
        <v>426</v>
      </c>
      <c r="H65" s="61" t="e">
        <f>B27+B28</f>
        <v>#DIV/0!</v>
      </c>
    </row>
    <row r="66" spans="7:8" x14ac:dyDescent="0.3">
      <c r="G66" s="312" t="str">
        <f t="shared" ref="G66:H68" si="1">A29</f>
        <v>Field fuel</v>
      </c>
      <c r="H66" s="61">
        <f t="shared" si="1"/>
        <v>0</v>
      </c>
    </row>
    <row r="67" spans="7:8" x14ac:dyDescent="0.3">
      <c r="G67" s="312" t="str">
        <f t="shared" si="1"/>
        <v xml:space="preserve">Peat </v>
      </c>
      <c r="H67" s="61">
        <f t="shared" si="1"/>
        <v>0</v>
      </c>
    </row>
    <row r="68" spans="7:8" x14ac:dyDescent="0.3">
      <c r="G68" s="312" t="str">
        <f t="shared" si="1"/>
        <v>Conservation credit</v>
      </c>
      <c r="H68" s="61">
        <f t="shared" si="1"/>
        <v>0</v>
      </c>
    </row>
  </sheetData>
  <customSheetViews>
    <customSheetView guid="{E65377FD-65C5-4E48-ADBC-1C49981F2400}">
      <selection activeCell="K15" sqref="K15"/>
      <pageMargins left="0.7" right="0.7" top="0.75" bottom="0.75" header="0.3" footer="0.3"/>
      <pageSetup paperSize="9" orientation="portrait" r:id="rId1"/>
    </customSheetView>
  </customSheetViews>
  <mergeCells count="1">
    <mergeCell ref="A23:F23"/>
  </mergeCell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G65"/>
  <sheetViews>
    <sheetView showGridLines="0" workbookViewId="0">
      <selection activeCell="C12" sqref="C12"/>
    </sheetView>
  </sheetViews>
  <sheetFormatPr defaultRowHeight="14.4" x14ac:dyDescent="0.3"/>
  <cols>
    <col min="1" max="1" width="33.44140625" customWidth="1"/>
    <col min="2" max="2" width="17.44140625" customWidth="1"/>
    <col min="3" max="3" width="14.33203125" customWidth="1"/>
    <col min="4" max="4" width="14.44140625" customWidth="1"/>
    <col min="5" max="5" width="15.5546875" customWidth="1"/>
    <col min="6" max="6" width="24.6640625" customWidth="1"/>
    <col min="7" max="7" width="24.88671875" customWidth="1"/>
  </cols>
  <sheetData>
    <row r="1" spans="1:7" ht="37.5" customHeight="1" x14ac:dyDescent="0.65">
      <c r="A1" s="371" t="s">
        <v>447</v>
      </c>
    </row>
    <row r="2" spans="1:7" x14ac:dyDescent="0.3">
      <c r="A2" s="7"/>
    </row>
    <row r="3" spans="1:7" ht="69.75" customHeight="1" x14ac:dyDescent="0.3">
      <c r="A3" s="420" t="s">
        <v>369</v>
      </c>
      <c r="B3" s="421"/>
      <c r="C3" s="421"/>
      <c r="D3" s="421"/>
      <c r="E3" s="421"/>
      <c r="F3" s="421"/>
      <c r="G3" s="422"/>
    </row>
    <row r="4" spans="1:7" ht="15" thickBot="1" x14ac:dyDescent="0.35"/>
    <row r="5" spans="1:7" ht="16.2" thickBot="1" x14ac:dyDescent="0.4">
      <c r="A5" s="252" t="s">
        <v>368</v>
      </c>
      <c r="B5" s="253" t="s">
        <v>284</v>
      </c>
      <c r="C5" s="254" t="s">
        <v>355</v>
      </c>
      <c r="G5" s="310"/>
    </row>
    <row r="6" spans="1:7" x14ac:dyDescent="0.3">
      <c r="A6" s="201" t="str">
        <f>'Default data'!E19</f>
        <v>Undisturbed forest</v>
      </c>
      <c r="B6" s="205">
        <f>'Default data'!G19</f>
        <v>268</v>
      </c>
      <c r="C6" s="202">
        <f>'Default data'!H19</f>
        <v>982.66666666666663</v>
      </c>
      <c r="G6" s="310"/>
    </row>
    <row r="7" spans="1:7" x14ac:dyDescent="0.3">
      <c r="A7" s="201" t="str">
        <f>'Default data'!E20</f>
        <v>Disturbed forest</v>
      </c>
      <c r="B7" s="205">
        <f>'Default data'!G20</f>
        <v>128</v>
      </c>
      <c r="C7" s="202">
        <f>'Default data'!H20</f>
        <v>469.33333333333331</v>
      </c>
      <c r="G7" s="310"/>
    </row>
    <row r="8" spans="1:7" x14ac:dyDescent="0.3">
      <c r="A8" s="201" t="str">
        <f>'Default data'!E21</f>
        <v>Shrubland</v>
      </c>
      <c r="B8" s="205">
        <f>'Default data'!G21</f>
        <v>46</v>
      </c>
      <c r="C8" s="202">
        <f>'Default data'!H21</f>
        <v>168.66666666666666</v>
      </c>
      <c r="G8" s="310"/>
    </row>
    <row r="9" spans="1:7" x14ac:dyDescent="0.3">
      <c r="A9" s="201" t="str">
        <f>'Default data'!E22</f>
        <v>Grassland</v>
      </c>
      <c r="B9" s="205">
        <f>'Default data'!G22</f>
        <v>5</v>
      </c>
      <c r="C9" s="202">
        <f>'Default data'!H22</f>
        <v>18.333333333333332</v>
      </c>
      <c r="G9" s="310"/>
    </row>
    <row r="10" spans="1:7" x14ac:dyDescent="0.3">
      <c r="A10" s="201" t="str">
        <f>'Default data'!E23</f>
        <v>Tree crops</v>
      </c>
      <c r="B10" s="205">
        <f>'Default data'!G23</f>
        <v>75</v>
      </c>
      <c r="C10" s="202">
        <f>'Default data'!H23</f>
        <v>275</v>
      </c>
      <c r="G10" s="310"/>
    </row>
    <row r="11" spans="1:7" x14ac:dyDescent="0.3">
      <c r="A11" s="201" t="str">
        <f>'Default data'!E24</f>
        <v>Annual/food crop</v>
      </c>
      <c r="B11" s="205">
        <f>'Default data'!G24</f>
        <v>8.5</v>
      </c>
      <c r="C11" s="202">
        <f>'Default data'!H24</f>
        <v>31.166666666666668</v>
      </c>
      <c r="G11" s="310"/>
    </row>
    <row r="12" spans="1:7" x14ac:dyDescent="0.3">
      <c r="A12" s="293" t="s">
        <v>280</v>
      </c>
      <c r="B12" s="290">
        <f>'8. Crop sequestration'!F31*0.5</f>
        <v>63.83</v>
      </c>
      <c r="C12" s="291">
        <f>B12*44/12</f>
        <v>234.04333333333332</v>
      </c>
      <c r="G12" s="310"/>
    </row>
    <row r="13" spans="1:7" x14ac:dyDescent="0.3">
      <c r="A13" s="293" t="s">
        <v>281</v>
      </c>
      <c r="B13" s="292">
        <f>'8. Crop sequestration'!O31*0.5</f>
        <v>59.284999999999997</v>
      </c>
      <c r="C13" s="291">
        <f t="shared" ref="C13:C21" si="0">B13*44/12</f>
        <v>217.37833333333333</v>
      </c>
      <c r="G13" s="310"/>
    </row>
    <row r="14" spans="1:7" x14ac:dyDescent="0.3">
      <c r="A14" s="203"/>
      <c r="B14" s="313"/>
      <c r="C14" s="289">
        <f t="shared" si="0"/>
        <v>0</v>
      </c>
      <c r="G14" s="310"/>
    </row>
    <row r="15" spans="1:7" x14ac:dyDescent="0.3">
      <c r="A15" s="203"/>
      <c r="B15" s="313"/>
      <c r="C15" s="289">
        <f t="shared" si="0"/>
        <v>0</v>
      </c>
      <c r="G15" s="310"/>
    </row>
    <row r="16" spans="1:7" x14ac:dyDescent="0.3">
      <c r="A16" s="203"/>
      <c r="B16" s="313"/>
      <c r="C16" s="289">
        <f t="shared" si="0"/>
        <v>0</v>
      </c>
    </row>
    <row r="17" spans="1:7" x14ac:dyDescent="0.3">
      <c r="A17" s="203"/>
      <c r="B17" s="313"/>
      <c r="C17" s="289">
        <f t="shared" si="0"/>
        <v>0</v>
      </c>
    </row>
    <row r="18" spans="1:7" x14ac:dyDescent="0.3">
      <c r="A18" s="203"/>
      <c r="B18" s="313"/>
      <c r="C18" s="289">
        <f t="shared" si="0"/>
        <v>0</v>
      </c>
    </row>
    <row r="19" spans="1:7" x14ac:dyDescent="0.3">
      <c r="A19" s="203"/>
      <c r="B19" s="313"/>
      <c r="C19" s="289">
        <f t="shared" si="0"/>
        <v>0</v>
      </c>
    </row>
    <row r="20" spans="1:7" x14ac:dyDescent="0.3">
      <c r="A20" s="203"/>
      <c r="B20" s="313"/>
      <c r="C20" s="289">
        <f t="shared" si="0"/>
        <v>0</v>
      </c>
    </row>
    <row r="21" spans="1:7" ht="15" thickBot="1" x14ac:dyDescent="0.35">
      <c r="A21" s="204"/>
      <c r="B21" s="313"/>
      <c r="C21" s="402">
        <f t="shared" si="0"/>
        <v>0</v>
      </c>
    </row>
    <row r="23" spans="1:7" ht="28.8" x14ac:dyDescent="0.3">
      <c r="A23" s="277" t="s">
        <v>406</v>
      </c>
      <c r="B23" s="274">
        <v>0</v>
      </c>
    </row>
    <row r="25" spans="1:7" x14ac:dyDescent="0.3">
      <c r="A25" s="7" t="s">
        <v>283</v>
      </c>
    </row>
    <row r="26" spans="1:7" ht="38.25" customHeight="1" x14ac:dyDescent="0.35">
      <c r="A26" s="288" t="s">
        <v>269</v>
      </c>
      <c r="B26" s="286" t="s">
        <v>405</v>
      </c>
      <c r="C26" s="287" t="s">
        <v>404</v>
      </c>
      <c r="D26" s="286" t="s">
        <v>355</v>
      </c>
      <c r="E26" s="286" t="s">
        <v>356</v>
      </c>
      <c r="F26" s="287" t="s">
        <v>459</v>
      </c>
      <c r="G26" s="408"/>
    </row>
    <row r="27" spans="1:7" x14ac:dyDescent="0.3">
      <c r="A27" s="282"/>
      <c r="B27" s="274"/>
      <c r="C27" s="285">
        <f>B27/(1+$B$23/100)</f>
        <v>0</v>
      </c>
      <c r="D27" s="274"/>
      <c r="E27" s="256">
        <f>B27*D27</f>
        <v>0</v>
      </c>
      <c r="F27" s="256">
        <f>E27/25</f>
        <v>0</v>
      </c>
      <c r="G27" s="409"/>
    </row>
    <row r="28" spans="1:7" x14ac:dyDescent="0.3">
      <c r="A28" s="282" t="s">
        <v>457</v>
      </c>
      <c r="B28" s="274"/>
      <c r="C28" s="407">
        <f>B28/(1+$B$23/100)</f>
        <v>0</v>
      </c>
      <c r="D28" s="274"/>
      <c r="E28" s="256">
        <f>B28*D28</f>
        <v>0</v>
      </c>
      <c r="F28" s="256">
        <f>E28/25</f>
        <v>0</v>
      </c>
      <c r="G28" s="409"/>
    </row>
    <row r="29" spans="1:7" x14ac:dyDescent="0.3">
      <c r="A29" s="282" t="s">
        <v>403</v>
      </c>
      <c r="B29" s="274"/>
      <c r="C29" s="407">
        <f>B29/(1+$B$23/100)</f>
        <v>0</v>
      </c>
      <c r="D29" s="313"/>
      <c r="E29" s="256">
        <f t="shared" ref="E29:E38" si="1">B29*D29</f>
        <v>0</v>
      </c>
      <c r="F29" s="256">
        <f t="shared" ref="F29:F37" si="2">E29/25</f>
        <v>0</v>
      </c>
      <c r="G29" s="409"/>
    </row>
    <row r="30" spans="1:7" x14ac:dyDescent="0.3">
      <c r="A30" s="282" t="s">
        <v>455</v>
      </c>
      <c r="B30" s="274"/>
      <c r="C30" s="407">
        <f t="shared" ref="C30:C38" si="3">B30/(1+$B$23/100)</f>
        <v>0</v>
      </c>
      <c r="D30" s="313"/>
      <c r="E30" s="256">
        <f t="shared" si="1"/>
        <v>0</v>
      </c>
      <c r="F30" s="256">
        <f t="shared" si="2"/>
        <v>0</v>
      </c>
      <c r="G30" s="409"/>
    </row>
    <row r="31" spans="1:7" x14ac:dyDescent="0.3">
      <c r="A31" s="282" t="s">
        <v>456</v>
      </c>
      <c r="B31" s="274"/>
      <c r="C31" s="407">
        <f>B31/(1+$B$23/100)</f>
        <v>0</v>
      </c>
      <c r="D31" s="313"/>
      <c r="E31" s="256">
        <f t="shared" si="1"/>
        <v>0</v>
      </c>
      <c r="F31" s="256">
        <f t="shared" si="2"/>
        <v>0</v>
      </c>
      <c r="G31" s="409"/>
    </row>
    <row r="32" spans="1:7" x14ac:dyDescent="0.3">
      <c r="A32" s="282"/>
      <c r="B32" s="274"/>
      <c r="C32" s="285">
        <f>B32/(1+$B$23/100)</f>
        <v>0</v>
      </c>
      <c r="D32" s="274"/>
      <c r="E32" s="256">
        <f t="shared" si="1"/>
        <v>0</v>
      </c>
      <c r="F32" s="256">
        <f t="shared" si="2"/>
        <v>0</v>
      </c>
      <c r="G32" s="409"/>
    </row>
    <row r="33" spans="1:7" x14ac:dyDescent="0.3">
      <c r="A33" s="282"/>
      <c r="B33" s="274"/>
      <c r="C33" s="285">
        <f t="shared" si="3"/>
        <v>0</v>
      </c>
      <c r="D33" s="274"/>
      <c r="E33" s="256">
        <f t="shared" si="1"/>
        <v>0</v>
      </c>
      <c r="F33" s="256">
        <f t="shared" si="2"/>
        <v>0</v>
      </c>
      <c r="G33" s="409"/>
    </row>
    <row r="34" spans="1:7" x14ac:dyDescent="0.3">
      <c r="A34" s="282"/>
      <c r="B34" s="274"/>
      <c r="C34" s="285">
        <f t="shared" si="3"/>
        <v>0</v>
      </c>
      <c r="D34" s="274"/>
      <c r="E34" s="256">
        <f t="shared" si="1"/>
        <v>0</v>
      </c>
      <c r="F34" s="256">
        <f t="shared" si="2"/>
        <v>0</v>
      </c>
      <c r="G34" s="409"/>
    </row>
    <row r="35" spans="1:7" x14ac:dyDescent="0.3">
      <c r="A35" s="282"/>
      <c r="B35" s="274"/>
      <c r="C35" s="285">
        <f t="shared" si="3"/>
        <v>0</v>
      </c>
      <c r="D35" s="274"/>
      <c r="E35" s="256">
        <f t="shared" si="1"/>
        <v>0</v>
      </c>
      <c r="F35" s="256">
        <f t="shared" si="2"/>
        <v>0</v>
      </c>
      <c r="G35" s="409"/>
    </row>
    <row r="36" spans="1:7" x14ac:dyDescent="0.3">
      <c r="A36" s="282"/>
      <c r="B36" s="274"/>
      <c r="C36" s="285">
        <f t="shared" si="3"/>
        <v>0</v>
      </c>
      <c r="D36" s="274"/>
      <c r="E36" s="256">
        <f t="shared" si="1"/>
        <v>0</v>
      </c>
      <c r="F36" s="256">
        <f>E36/25</f>
        <v>0</v>
      </c>
      <c r="G36" s="409"/>
    </row>
    <row r="37" spans="1:7" x14ac:dyDescent="0.3">
      <c r="A37" s="282"/>
      <c r="B37" s="274"/>
      <c r="C37" s="285">
        <f t="shared" si="3"/>
        <v>0</v>
      </c>
      <c r="D37" s="274"/>
      <c r="E37" s="256">
        <f t="shared" si="1"/>
        <v>0</v>
      </c>
      <c r="F37" s="256">
        <f t="shared" si="2"/>
        <v>0</v>
      </c>
      <c r="G37" s="409"/>
    </row>
    <row r="38" spans="1:7" x14ac:dyDescent="0.3">
      <c r="A38" s="282"/>
      <c r="B38" s="274"/>
      <c r="C38" s="285">
        <f t="shared" si="3"/>
        <v>0</v>
      </c>
      <c r="D38" s="274"/>
      <c r="E38" s="256">
        <f t="shared" si="1"/>
        <v>0</v>
      </c>
      <c r="F38" s="256">
        <f>E38/25</f>
        <v>0</v>
      </c>
      <c r="G38" s="409"/>
    </row>
    <row r="39" spans="1:7" x14ac:dyDescent="0.3">
      <c r="A39" s="264" t="s">
        <v>5</v>
      </c>
      <c r="B39" s="256">
        <f>SUM(B27:B38)</f>
        <v>0</v>
      </c>
      <c r="C39" s="256">
        <f>SUM(C27:C38)</f>
        <v>0</v>
      </c>
      <c r="D39" s="191"/>
      <c r="E39" s="256">
        <f>SUM(E27:E38)</f>
        <v>0</v>
      </c>
      <c r="F39" s="256">
        <f>SUM(F27:F38)</f>
        <v>0</v>
      </c>
      <c r="G39" s="409"/>
    </row>
    <row r="42" spans="1:7" x14ac:dyDescent="0.3">
      <c r="A42" s="7" t="s">
        <v>282</v>
      </c>
    </row>
    <row r="43" spans="1:7" ht="29.4" x14ac:dyDescent="0.35">
      <c r="A43" s="255" t="s">
        <v>269</v>
      </c>
      <c r="B43" s="286" t="s">
        <v>405</v>
      </c>
      <c r="C43" s="287" t="s">
        <v>404</v>
      </c>
      <c r="D43" s="286" t="s">
        <v>355</v>
      </c>
      <c r="E43" s="286" t="s">
        <v>356</v>
      </c>
      <c r="F43" s="287" t="s">
        <v>459</v>
      </c>
      <c r="G43" s="408"/>
    </row>
    <row r="44" spans="1:7" x14ac:dyDescent="0.3">
      <c r="A44" s="282" t="s">
        <v>0</v>
      </c>
      <c r="B44" s="274"/>
      <c r="C44" s="285">
        <f>B44/(1+$B$23/100)</f>
        <v>0</v>
      </c>
      <c r="D44" s="313">
        <v>168.66666666666666</v>
      </c>
      <c r="E44" s="256">
        <f>B44*D44</f>
        <v>0</v>
      </c>
      <c r="F44" s="256">
        <f>E44/25</f>
        <v>0</v>
      </c>
      <c r="G44" s="409"/>
    </row>
    <row r="45" spans="1:7" x14ac:dyDescent="0.3">
      <c r="A45" s="195"/>
      <c r="B45" s="274"/>
      <c r="C45" s="285">
        <f t="shared" ref="C45:C55" si="4">B45/(1+$B$23/100)</f>
        <v>0</v>
      </c>
      <c r="D45" s="274"/>
      <c r="E45" s="256">
        <f t="shared" ref="E45:E55" si="5">B45*D45</f>
        <v>0</v>
      </c>
      <c r="F45" s="256">
        <f t="shared" ref="F45:F55" si="6">E45/25</f>
        <v>0</v>
      </c>
      <c r="G45" s="409"/>
    </row>
    <row r="46" spans="1:7" x14ac:dyDescent="0.3">
      <c r="A46" s="195"/>
      <c r="B46" s="274"/>
      <c r="C46" s="285">
        <f t="shared" si="4"/>
        <v>0</v>
      </c>
      <c r="D46" s="274"/>
      <c r="E46" s="256">
        <f>B46*D46</f>
        <v>0</v>
      </c>
      <c r="F46" s="256">
        <f t="shared" si="6"/>
        <v>0</v>
      </c>
      <c r="G46" s="409"/>
    </row>
    <row r="47" spans="1:7" x14ac:dyDescent="0.3">
      <c r="A47" s="195"/>
      <c r="B47" s="274"/>
      <c r="C47" s="285">
        <f>B47/(1+$B$23/100)</f>
        <v>0</v>
      </c>
      <c r="D47" s="274"/>
      <c r="E47" s="256">
        <f>B47*D47</f>
        <v>0</v>
      </c>
      <c r="F47" s="256">
        <f t="shared" si="6"/>
        <v>0</v>
      </c>
      <c r="G47" s="409"/>
    </row>
    <row r="48" spans="1:7" x14ac:dyDescent="0.3">
      <c r="A48" s="195"/>
      <c r="B48" s="274"/>
      <c r="C48" s="285">
        <f t="shared" si="4"/>
        <v>0</v>
      </c>
      <c r="D48" s="274"/>
      <c r="E48" s="256">
        <f t="shared" si="5"/>
        <v>0</v>
      </c>
      <c r="F48" s="256">
        <f>E48/25</f>
        <v>0</v>
      </c>
      <c r="G48" s="409"/>
    </row>
    <row r="49" spans="1:7" x14ac:dyDescent="0.3">
      <c r="A49" s="195"/>
      <c r="B49" s="274"/>
      <c r="C49" s="285">
        <f t="shared" si="4"/>
        <v>0</v>
      </c>
      <c r="D49" s="274"/>
      <c r="E49" s="256">
        <f t="shared" si="5"/>
        <v>0</v>
      </c>
      <c r="F49" s="256">
        <f t="shared" si="6"/>
        <v>0</v>
      </c>
      <c r="G49" s="409"/>
    </row>
    <row r="50" spans="1:7" x14ac:dyDescent="0.3">
      <c r="A50" s="195"/>
      <c r="B50" s="274"/>
      <c r="C50" s="285">
        <f t="shared" si="4"/>
        <v>0</v>
      </c>
      <c r="D50" s="274"/>
      <c r="E50" s="256">
        <f t="shared" si="5"/>
        <v>0</v>
      </c>
      <c r="F50" s="256">
        <f t="shared" si="6"/>
        <v>0</v>
      </c>
      <c r="G50" s="409"/>
    </row>
    <row r="51" spans="1:7" x14ac:dyDescent="0.3">
      <c r="A51" s="195"/>
      <c r="B51" s="274"/>
      <c r="C51" s="285">
        <f t="shared" si="4"/>
        <v>0</v>
      </c>
      <c r="D51" s="274"/>
      <c r="E51" s="256">
        <f t="shared" si="5"/>
        <v>0</v>
      </c>
      <c r="F51" s="256">
        <f t="shared" si="6"/>
        <v>0</v>
      </c>
      <c r="G51" s="409"/>
    </row>
    <row r="52" spans="1:7" x14ac:dyDescent="0.3">
      <c r="A52" s="195"/>
      <c r="B52" s="274"/>
      <c r="C52" s="285">
        <f t="shared" si="4"/>
        <v>0</v>
      </c>
      <c r="D52" s="274"/>
      <c r="E52" s="256">
        <f t="shared" si="5"/>
        <v>0</v>
      </c>
      <c r="F52" s="256">
        <f t="shared" si="6"/>
        <v>0</v>
      </c>
      <c r="G52" s="409"/>
    </row>
    <row r="53" spans="1:7" x14ac:dyDescent="0.3">
      <c r="A53" s="195"/>
      <c r="B53" s="274"/>
      <c r="C53" s="285">
        <f t="shared" si="4"/>
        <v>0</v>
      </c>
      <c r="D53" s="274"/>
      <c r="E53" s="256">
        <f t="shared" si="5"/>
        <v>0</v>
      </c>
      <c r="F53" s="256">
        <f t="shared" si="6"/>
        <v>0</v>
      </c>
      <c r="G53" s="409"/>
    </row>
    <row r="54" spans="1:7" x14ac:dyDescent="0.3">
      <c r="A54" s="195"/>
      <c r="B54" s="274"/>
      <c r="C54" s="285">
        <f t="shared" si="4"/>
        <v>0</v>
      </c>
      <c r="D54" s="274"/>
      <c r="E54" s="256">
        <f t="shared" si="5"/>
        <v>0</v>
      </c>
      <c r="F54" s="256">
        <f t="shared" si="6"/>
        <v>0</v>
      </c>
      <c r="G54" s="409"/>
    </row>
    <row r="55" spans="1:7" x14ac:dyDescent="0.3">
      <c r="A55" s="195"/>
      <c r="B55" s="274"/>
      <c r="C55" s="285">
        <f t="shared" si="4"/>
        <v>0</v>
      </c>
      <c r="D55" s="274"/>
      <c r="E55" s="256">
        <f t="shared" si="5"/>
        <v>0</v>
      </c>
      <c r="F55" s="256">
        <f t="shared" si="6"/>
        <v>0</v>
      </c>
      <c r="G55" s="409"/>
    </row>
    <row r="56" spans="1:7" x14ac:dyDescent="0.3">
      <c r="A56" s="265" t="s">
        <v>5</v>
      </c>
      <c r="B56" s="256">
        <f>SUM(B44:B55)</f>
        <v>0</v>
      </c>
      <c r="C56" s="256">
        <f>SUM(C44:C55)</f>
        <v>0</v>
      </c>
      <c r="D56" s="191"/>
      <c r="E56" s="256">
        <f>SUM(E44:E55)</f>
        <v>0</v>
      </c>
      <c r="F56" s="256">
        <f>SUM(F44:F55)</f>
        <v>0</v>
      </c>
      <c r="G56" s="409"/>
    </row>
    <row r="59" spans="1:7" x14ac:dyDescent="0.3">
      <c r="A59" t="s">
        <v>407</v>
      </c>
      <c r="C59" s="3">
        <f>SUM(C39+C56)</f>
        <v>0</v>
      </c>
    </row>
    <row r="60" spans="1:7" ht="15.6" x14ac:dyDescent="0.35">
      <c r="A60" t="s">
        <v>339</v>
      </c>
      <c r="C60" s="3">
        <f>SUM(F39+F56)</f>
        <v>0</v>
      </c>
    </row>
    <row r="65" spans="1:1" x14ac:dyDescent="0.3">
      <c r="A65" s="412" t="s">
        <v>467</v>
      </c>
    </row>
  </sheetData>
  <mergeCells count="1">
    <mergeCell ref="A3:G3"/>
  </mergeCells>
  <dataValidations count="2">
    <dataValidation type="list" showInputMessage="1" showErrorMessage="1" sqref="A27:A38 A44:A55" xr:uid="{00000000-0002-0000-0400-000000000000}">
      <formula1>LandUse</formula1>
    </dataValidation>
    <dataValidation showInputMessage="1" showErrorMessage="1" sqref="C27:C39 B44:C55 B39" xr:uid="{00000000-0002-0000-0400-000001000000}"/>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13"/>
  <sheetViews>
    <sheetView showGridLines="0" zoomScaleNormal="100" workbookViewId="0">
      <selection activeCell="B13" sqref="B13"/>
    </sheetView>
  </sheetViews>
  <sheetFormatPr defaultColWidth="9.109375" defaultRowHeight="14.4" x14ac:dyDescent="0.3"/>
  <cols>
    <col min="1" max="1" width="37.6640625" style="62" customWidth="1"/>
    <col min="2" max="2" width="14.109375" style="62" customWidth="1"/>
    <col min="3" max="3" width="9.88671875" style="62" customWidth="1"/>
    <col min="4" max="4" width="21.6640625" style="62" bestFit="1" customWidth="1"/>
    <col min="5" max="5" width="10.109375" style="62" customWidth="1"/>
    <col min="6" max="6" width="9.109375" style="62"/>
    <col min="7" max="7" width="18.109375" style="62" customWidth="1"/>
    <col min="8" max="8" width="10.109375" style="62" customWidth="1"/>
    <col min="9" max="9" width="7.6640625" style="62" customWidth="1"/>
    <col min="10" max="10" width="19.5546875" style="62" customWidth="1"/>
    <col min="11" max="11" width="12.109375" style="62" customWidth="1"/>
    <col min="12" max="16384" width="9.109375" style="62"/>
  </cols>
  <sheetData>
    <row r="1" spans="1:7" ht="33.6" x14ac:dyDescent="0.65">
      <c r="A1" s="377" t="s">
        <v>448</v>
      </c>
    </row>
    <row r="2" spans="1:7" x14ac:dyDescent="0.3">
      <c r="A2" s="70"/>
    </row>
    <row r="3" spans="1:7" ht="79.5" customHeight="1" x14ac:dyDescent="0.3">
      <c r="A3" s="423" t="s">
        <v>370</v>
      </c>
      <c r="B3" s="424"/>
      <c r="C3" s="425"/>
      <c r="D3" s="425"/>
      <c r="E3" s="425"/>
      <c r="F3" s="425"/>
      <c r="G3" s="426"/>
    </row>
    <row r="4" spans="1:7" x14ac:dyDescent="0.3">
      <c r="A4" s="71"/>
    </row>
    <row r="5" spans="1:7" x14ac:dyDescent="0.3">
      <c r="A5" s="70" t="s">
        <v>297</v>
      </c>
    </row>
    <row r="6" spans="1:7" ht="28.5" customHeight="1" x14ac:dyDescent="0.3">
      <c r="A6" s="376" t="s">
        <v>298</v>
      </c>
      <c r="B6" s="401"/>
    </row>
    <row r="7" spans="1:7" ht="28.5" customHeight="1" x14ac:dyDescent="0.3">
      <c r="A7" s="376" t="s">
        <v>310</v>
      </c>
      <c r="B7" s="410">
        <f>'1. LUC emissions'!C59</f>
        <v>0</v>
      </c>
    </row>
    <row r="8" spans="1:7" ht="28.5" customHeight="1" x14ac:dyDescent="0.3">
      <c r="A8" s="376" t="s">
        <v>299</v>
      </c>
      <c r="B8" s="410">
        <f>B6*B7</f>
        <v>0</v>
      </c>
    </row>
    <row r="9" spans="1:7" x14ac:dyDescent="0.3">
      <c r="B9" s="67"/>
    </row>
    <row r="10" spans="1:7" x14ac:dyDescent="0.3">
      <c r="A10" s="116"/>
      <c r="B10" s="68"/>
    </row>
    <row r="13" spans="1:7" x14ac:dyDescent="0.3">
      <c r="A13" s="412" t="s">
        <v>467</v>
      </c>
    </row>
  </sheetData>
  <sheetProtection insertRows="0"/>
  <mergeCells count="1">
    <mergeCell ref="A3:G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00"/>
  </sheetPr>
  <dimension ref="A1:L35"/>
  <sheetViews>
    <sheetView showGridLines="0" topLeftCell="B1" workbookViewId="0">
      <selection activeCell="C35" sqref="C35"/>
    </sheetView>
  </sheetViews>
  <sheetFormatPr defaultColWidth="9.109375" defaultRowHeight="14.4" x14ac:dyDescent="0.3"/>
  <cols>
    <col min="1" max="1" width="4.33203125" style="62" customWidth="1"/>
    <col min="2" max="2" width="24.6640625" style="62" customWidth="1"/>
    <col min="3" max="3" width="9.33203125" style="62" customWidth="1"/>
    <col min="4" max="4" width="8" style="62" customWidth="1"/>
    <col min="5" max="5" width="27.88671875" style="62" customWidth="1"/>
    <col min="6" max="6" width="9.33203125" style="62" customWidth="1"/>
    <col min="7" max="7" width="8" style="62" customWidth="1"/>
    <col min="8" max="8" width="26" style="62" bestFit="1" customWidth="1"/>
    <col min="9" max="9" width="10.109375" style="62" customWidth="1"/>
    <col min="10" max="10" width="8" style="62" customWidth="1"/>
    <col min="11" max="11" width="26.44140625" style="62" customWidth="1"/>
    <col min="12" max="17" width="9.109375" style="62"/>
    <col min="18" max="18" width="10.5546875" style="62" customWidth="1"/>
    <col min="19" max="19" width="12.6640625" style="62" customWidth="1"/>
    <col min="20" max="20" width="12.109375" style="62" customWidth="1"/>
    <col min="21" max="16384" width="9.109375" style="62"/>
  </cols>
  <sheetData>
    <row r="1" spans="1:12" ht="33.6" x14ac:dyDescent="0.65">
      <c r="A1" s="377" t="s">
        <v>449</v>
      </c>
      <c r="B1" s="70"/>
    </row>
    <row r="2" spans="1:12" ht="6" customHeight="1" x14ac:dyDescent="0.3">
      <c r="B2" s="70"/>
    </row>
    <row r="3" spans="1:12" ht="69.75" customHeight="1" x14ac:dyDescent="0.3">
      <c r="A3" s="427" t="s">
        <v>371</v>
      </c>
      <c r="B3" s="427"/>
      <c r="C3" s="427"/>
      <c r="D3" s="427"/>
      <c r="E3" s="427"/>
      <c r="F3" s="427"/>
      <c r="G3" s="427"/>
      <c r="H3" s="427"/>
      <c r="I3" s="427"/>
      <c r="J3" s="427"/>
      <c r="K3" s="427"/>
      <c r="L3" s="427"/>
    </row>
    <row r="4" spans="1:12" ht="12.75" customHeight="1" thickBot="1" x14ac:dyDescent="0.35">
      <c r="B4" s="71"/>
    </row>
    <row r="5" spans="1:12" x14ac:dyDescent="0.3">
      <c r="A5" s="214"/>
      <c r="B5" s="392"/>
      <c r="C5" s="378"/>
      <c r="D5" s="378"/>
      <c r="E5" s="378"/>
      <c r="F5" s="378"/>
      <c r="G5" s="379"/>
    </row>
    <row r="6" spans="1:12" ht="18" customHeight="1" x14ac:dyDescent="0.3">
      <c r="A6" s="214"/>
      <c r="B6" s="393" t="s">
        <v>313</v>
      </c>
      <c r="C6" s="214"/>
      <c r="D6" s="214"/>
      <c r="E6" s="214"/>
      <c r="F6" s="214"/>
      <c r="G6" s="380"/>
      <c r="H6" s="84"/>
      <c r="I6" s="84"/>
      <c r="J6" s="84"/>
      <c r="K6" s="84"/>
    </row>
    <row r="7" spans="1:12" ht="15.6" x14ac:dyDescent="0.35">
      <c r="A7" s="214"/>
      <c r="B7" s="394" t="s">
        <v>151</v>
      </c>
      <c r="C7" s="75">
        <f>'Default data'!$B7</f>
        <v>3.12</v>
      </c>
      <c r="D7" s="214"/>
      <c r="E7" s="74" t="s">
        <v>289</v>
      </c>
      <c r="F7" s="400">
        <v>0</v>
      </c>
      <c r="G7" s="381"/>
      <c r="H7" s="78"/>
      <c r="I7" s="78"/>
      <c r="J7" s="78"/>
      <c r="K7" s="87"/>
    </row>
    <row r="8" spans="1:12" ht="15.6" x14ac:dyDescent="0.35">
      <c r="A8" s="214"/>
      <c r="B8" s="394" t="s">
        <v>204</v>
      </c>
      <c r="C8" s="382">
        <f>'Default data'!B8</f>
        <v>2.75</v>
      </c>
      <c r="D8" s="214"/>
      <c r="E8" s="74" t="s">
        <v>290</v>
      </c>
      <c r="F8" s="400">
        <v>0</v>
      </c>
      <c r="G8" s="383"/>
    </row>
    <row r="9" spans="1:12" ht="15" thickBot="1" x14ac:dyDescent="0.35">
      <c r="A9" s="214"/>
      <c r="B9" s="395"/>
      <c r="C9" s="385"/>
      <c r="D9" s="386"/>
      <c r="E9" s="384"/>
      <c r="F9" s="387"/>
      <c r="G9" s="388"/>
    </row>
    <row r="10" spans="1:12" x14ac:dyDescent="0.3">
      <c r="B10" s="74"/>
      <c r="C10" s="63"/>
      <c r="E10" s="74"/>
      <c r="F10" s="76"/>
    </row>
    <row r="11" spans="1:12" x14ac:dyDescent="0.3">
      <c r="B11" s="197" t="s">
        <v>295</v>
      </c>
      <c r="C11" s="63"/>
    </row>
    <row r="12" spans="1:12" x14ac:dyDescent="0.3">
      <c r="B12" s="428" t="s">
        <v>206</v>
      </c>
      <c r="C12" s="428"/>
      <c r="E12" s="428" t="s">
        <v>207</v>
      </c>
      <c r="F12" s="428"/>
      <c r="H12" s="428" t="s">
        <v>291</v>
      </c>
      <c r="I12" s="428"/>
      <c r="K12" s="428" t="s">
        <v>294</v>
      </c>
      <c r="L12" s="428"/>
    </row>
    <row r="13" spans="1:12" ht="18.75" customHeight="1" x14ac:dyDescent="0.3">
      <c r="B13" s="389" t="s">
        <v>292</v>
      </c>
      <c r="C13" s="398"/>
      <c r="D13" s="390"/>
      <c r="E13" s="389" t="s">
        <v>292</v>
      </c>
      <c r="F13" s="398"/>
      <c r="G13" s="390"/>
      <c r="H13" s="389" t="s">
        <v>292</v>
      </c>
      <c r="I13" s="399"/>
      <c r="J13" s="390"/>
      <c r="K13" s="389" t="s">
        <v>292</v>
      </c>
      <c r="L13" s="398"/>
    </row>
    <row r="14" spans="1:12" ht="18.75" customHeight="1" x14ac:dyDescent="0.3">
      <c r="B14" s="390" t="s">
        <v>293</v>
      </c>
      <c r="C14" s="391">
        <f>C13*'1. LUC emissions'!C59</f>
        <v>0</v>
      </c>
      <c r="D14" s="390"/>
      <c r="E14" s="390" t="s">
        <v>293</v>
      </c>
      <c r="F14" s="391">
        <f>F13*'1. LUC emissions'!C59</f>
        <v>0</v>
      </c>
      <c r="G14" s="390"/>
      <c r="H14" s="390" t="s">
        <v>293</v>
      </c>
      <c r="I14" s="391">
        <f>I13*'1. LUC emissions'!C59</f>
        <v>0</v>
      </c>
      <c r="J14" s="390"/>
      <c r="K14" s="390" t="s">
        <v>293</v>
      </c>
      <c r="L14" s="391">
        <f>L13*'1. LUC emissions'!C59</f>
        <v>0</v>
      </c>
    </row>
    <row r="15" spans="1:12" x14ac:dyDescent="0.3">
      <c r="B15" s="98"/>
      <c r="C15" s="95"/>
    </row>
    <row r="16" spans="1:12" x14ac:dyDescent="0.3">
      <c r="B16" s="113" t="s">
        <v>296</v>
      </c>
      <c r="C16" s="97"/>
    </row>
    <row r="17" spans="2:6" ht="15.6" x14ac:dyDescent="0.35">
      <c r="B17" s="89" t="s">
        <v>163</v>
      </c>
      <c r="C17" s="134">
        <f>(C14*C7+F14*C8+I14*F7+L14*F8)/1000</f>
        <v>0</v>
      </c>
    </row>
    <row r="18" spans="2:6" x14ac:dyDescent="0.3">
      <c r="B18" s="89"/>
      <c r="C18" s="94"/>
    </row>
    <row r="19" spans="2:6" hidden="1" x14ac:dyDescent="0.3">
      <c r="B19" s="148" t="s">
        <v>212</v>
      </c>
      <c r="C19" s="150"/>
      <c r="D19" s="148"/>
      <c r="E19" s="148" t="s">
        <v>207</v>
      </c>
      <c r="F19" s="148"/>
    </row>
    <row r="20" spans="2:6" hidden="1" x14ac:dyDescent="0.3">
      <c r="B20" s="161" t="s">
        <v>126</v>
      </c>
      <c r="C20" s="156" t="e">
        <f>#REF!</f>
        <v>#REF!</v>
      </c>
      <c r="D20" s="148"/>
      <c r="E20" s="148" t="str">
        <f t="shared" ref="E20:F24" si="0">B20</f>
        <v>Outgrower fuel consumption l/yr</v>
      </c>
      <c r="F20" s="156" t="e">
        <f t="shared" si="0"/>
        <v>#REF!</v>
      </c>
    </row>
    <row r="21" spans="2:6" hidden="1" x14ac:dyDescent="0.3">
      <c r="B21" s="168" t="e">
        <f>#REF!</f>
        <v>#REF!</v>
      </c>
      <c r="C21" s="165"/>
      <c r="D21" s="148"/>
      <c r="E21" s="155" t="e">
        <f t="shared" si="0"/>
        <v>#REF!</v>
      </c>
      <c r="F21" s="167"/>
    </row>
    <row r="22" spans="2:6" hidden="1" x14ac:dyDescent="0.3">
      <c r="B22" s="168" t="e">
        <f>#REF!</f>
        <v>#REF!</v>
      </c>
      <c r="C22" s="165"/>
      <c r="D22" s="148"/>
      <c r="E22" s="155" t="e">
        <f t="shared" si="0"/>
        <v>#REF!</v>
      </c>
      <c r="F22" s="167"/>
    </row>
    <row r="23" spans="2:6" hidden="1" x14ac:dyDescent="0.3">
      <c r="B23" s="168" t="e">
        <f>#REF!</f>
        <v>#REF!</v>
      </c>
      <c r="C23" s="165"/>
      <c r="D23" s="148"/>
      <c r="E23" s="155" t="e">
        <f t="shared" si="0"/>
        <v>#REF!</v>
      </c>
      <c r="F23" s="167"/>
    </row>
    <row r="24" spans="2:6" hidden="1" x14ac:dyDescent="0.3">
      <c r="B24" s="168" t="e">
        <f>#REF!</f>
        <v>#REF!</v>
      </c>
      <c r="C24" s="165"/>
      <c r="D24" s="148"/>
      <c r="E24" s="155" t="e">
        <f t="shared" si="0"/>
        <v>#REF!</v>
      </c>
      <c r="F24" s="167"/>
    </row>
    <row r="25" spans="2:6" hidden="1" x14ac:dyDescent="0.3">
      <c r="B25" s="168"/>
      <c r="C25" s="172"/>
      <c r="D25" s="148"/>
      <c r="E25" s="148"/>
      <c r="F25" s="148"/>
    </row>
    <row r="26" spans="2:6" hidden="1" x14ac:dyDescent="0.3">
      <c r="B26" s="173" t="s">
        <v>213</v>
      </c>
      <c r="C26" s="174" t="s">
        <v>210</v>
      </c>
      <c r="D26" s="157" t="s">
        <v>211</v>
      </c>
      <c r="E26" s="148"/>
      <c r="F26" s="148"/>
    </row>
    <row r="27" spans="2:6" s="76" customFormat="1" hidden="1" x14ac:dyDescent="0.3">
      <c r="B27" s="151" t="s">
        <v>208</v>
      </c>
      <c r="C27" s="159">
        <f>SUM(C21:C24)</f>
        <v>0</v>
      </c>
      <c r="D27" s="150" t="e">
        <f>C27/#REF!</f>
        <v>#REF!</v>
      </c>
      <c r="E27" s="148"/>
      <c r="F27" s="148"/>
    </row>
    <row r="28" spans="2:6" hidden="1" x14ac:dyDescent="0.3">
      <c r="B28" s="151" t="s">
        <v>209</v>
      </c>
      <c r="C28" s="149">
        <f>SUM(F21:F24)</f>
        <v>0</v>
      </c>
      <c r="D28" s="150" t="e">
        <f>C28/#REF!</f>
        <v>#REF!</v>
      </c>
      <c r="E28" s="148"/>
      <c r="F28" s="148"/>
    </row>
    <row r="29" spans="2:6" hidden="1" x14ac:dyDescent="0.3">
      <c r="B29" s="151"/>
      <c r="C29" s="149"/>
      <c r="D29" s="148"/>
      <c r="E29" s="148"/>
      <c r="F29" s="148"/>
    </row>
    <row r="30" spans="2:6" ht="15.6" hidden="1" x14ac:dyDescent="0.35">
      <c r="B30" s="151" t="s">
        <v>114</v>
      </c>
      <c r="C30" s="150" t="e">
        <f>(D27*C7+D28*C8)/1000</f>
        <v>#REF!</v>
      </c>
      <c r="D30" s="148"/>
      <c r="E30" s="148"/>
      <c r="F30" s="148"/>
    </row>
    <row r="31" spans="2:6" ht="15.6" hidden="1" x14ac:dyDescent="0.35">
      <c r="B31" s="151" t="s">
        <v>163</v>
      </c>
      <c r="C31" s="166">
        <f>(C27*$C7+C28*C8)/1000</f>
        <v>0</v>
      </c>
      <c r="D31" s="148"/>
      <c r="E31" s="148"/>
      <c r="F31" s="148"/>
    </row>
    <row r="33" spans="2:6" x14ac:dyDescent="0.3">
      <c r="E33" s="76"/>
      <c r="F33" s="76"/>
    </row>
    <row r="34" spans="2:6" x14ac:dyDescent="0.3">
      <c r="F34" s="142"/>
    </row>
    <row r="35" spans="2:6" x14ac:dyDescent="0.3">
      <c r="B35" s="412" t="s">
        <v>467</v>
      </c>
      <c r="F35" s="64"/>
    </row>
  </sheetData>
  <sheetProtection formatCells="0" formatColumns="0" formatRows="0" insertColumns="0" insertRows="0"/>
  <customSheetViews>
    <customSheetView guid="{E65377FD-65C5-4E48-ADBC-1C49981F2400}" topLeftCell="A10">
      <selection activeCell="D17" sqref="D17"/>
      <pageMargins left="0.7" right="0.7" top="0.75" bottom="0.75" header="0.3" footer="0.3"/>
      <pageSetup orientation="portrait" r:id="rId1"/>
    </customSheetView>
  </customSheetViews>
  <mergeCells count="5">
    <mergeCell ref="A3:L3"/>
    <mergeCell ref="B12:C12"/>
    <mergeCell ref="E12:F12"/>
    <mergeCell ref="H12:I12"/>
    <mergeCell ref="K12:L12"/>
  </mergeCells>
  <pageMargins left="0.7" right="0.7" top="0.75" bottom="0.75" header="0.3" footer="0.3"/>
  <pageSetup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FF00"/>
  </sheetPr>
  <dimension ref="A1:AG31"/>
  <sheetViews>
    <sheetView showGridLines="0" zoomScaleNormal="100" workbookViewId="0">
      <selection activeCell="B25" sqref="B25"/>
    </sheetView>
  </sheetViews>
  <sheetFormatPr defaultColWidth="9.109375" defaultRowHeight="14.4" x14ac:dyDescent="0.3"/>
  <cols>
    <col min="1" max="1" width="69.88671875" style="62" customWidth="1"/>
    <col min="2" max="2" width="7.5546875" style="62" bestFit="1" customWidth="1"/>
    <col min="3" max="3" width="5" style="62" bestFit="1" customWidth="1"/>
    <col min="4" max="4" width="5.5546875" style="62" bestFit="1" customWidth="1"/>
    <col min="5" max="5" width="4.6640625" style="62" customWidth="1"/>
    <col min="6" max="6" width="5.5546875" style="62" customWidth="1"/>
    <col min="7" max="7" width="8.44140625" style="62" bestFit="1" customWidth="1"/>
    <col min="8" max="8" width="4.88671875" style="62" customWidth="1"/>
    <col min="9" max="9" width="5" style="62" customWidth="1"/>
    <col min="10" max="10" width="4.88671875" style="62" customWidth="1"/>
    <col min="11" max="11" width="5.33203125" style="62" customWidth="1"/>
    <col min="12" max="12" width="5.109375" style="62" customWidth="1"/>
    <col min="13" max="13" width="5.44140625" style="62" customWidth="1"/>
    <col min="14" max="14" width="5.109375" style="62" customWidth="1"/>
    <col min="15" max="15" width="5" style="62" customWidth="1"/>
    <col min="16" max="16" width="5.5546875" style="62" customWidth="1"/>
    <col min="17" max="17" width="6" style="62" customWidth="1"/>
    <col min="18" max="18" width="5.88671875" style="62" customWidth="1"/>
    <col min="19" max="19" width="5" style="62" customWidth="1"/>
    <col min="20" max="20" width="6.109375" style="62" customWidth="1"/>
    <col min="21" max="21" width="5.44140625" style="62" customWidth="1"/>
    <col min="22" max="22" width="5.109375" style="62" customWidth="1"/>
    <col min="23" max="23" width="5" style="62" customWidth="1"/>
    <col min="24" max="26" width="5.44140625" style="62" customWidth="1"/>
    <col min="27" max="27" width="6.33203125" style="62" customWidth="1"/>
    <col min="28" max="28" width="6" style="62" customWidth="1"/>
    <col min="29" max="29" width="6.109375" style="62" customWidth="1"/>
    <col min="30" max="30" width="5.6640625" style="62" customWidth="1"/>
    <col min="31" max="31" width="5.5546875" style="62" customWidth="1"/>
    <col min="32" max="32" width="10.109375" style="62" customWidth="1"/>
    <col min="33" max="33" width="8" style="62" customWidth="1"/>
    <col min="34" max="16384" width="9.109375" style="62"/>
  </cols>
  <sheetData>
    <row r="1" spans="1:30" ht="41.25" customHeight="1" x14ac:dyDescent="0.85">
      <c r="A1" s="377" t="s">
        <v>451</v>
      </c>
    </row>
    <row r="2" spans="1:30" ht="39" customHeight="1" x14ac:dyDescent="0.3">
      <c r="A2" s="429" t="s">
        <v>450</v>
      </c>
      <c r="B2" s="430"/>
      <c r="C2" s="430"/>
      <c r="D2" s="430"/>
      <c r="E2" s="430"/>
      <c r="F2" s="430"/>
      <c r="G2" s="430"/>
      <c r="H2" s="430"/>
      <c r="I2" s="430"/>
      <c r="J2" s="430"/>
      <c r="K2" s="430"/>
      <c r="L2" s="430"/>
      <c r="M2" s="430"/>
      <c r="N2" s="430"/>
      <c r="O2" s="430"/>
      <c r="P2" s="430"/>
      <c r="Q2" s="430"/>
      <c r="R2" s="430"/>
      <c r="S2" s="430"/>
      <c r="T2" s="430"/>
      <c r="U2" s="430"/>
      <c r="V2" s="431"/>
      <c r="W2" s="35"/>
      <c r="X2" s="99"/>
      <c r="Y2" s="99"/>
      <c r="Z2" s="99"/>
      <c r="AA2" s="99"/>
      <c r="AB2" s="99"/>
      <c r="AC2" s="99"/>
      <c r="AD2" s="99"/>
    </row>
    <row r="3" spans="1:30" ht="21" customHeight="1" x14ac:dyDescent="0.3">
      <c r="A3" s="432"/>
      <c r="B3" s="433"/>
      <c r="C3" s="433"/>
      <c r="D3" s="433"/>
      <c r="E3" s="433"/>
      <c r="F3" s="433"/>
      <c r="G3" s="433"/>
      <c r="H3" s="433"/>
      <c r="I3" s="433"/>
      <c r="J3" s="433"/>
      <c r="K3" s="433"/>
      <c r="L3" s="433"/>
      <c r="M3" s="433"/>
      <c r="N3" s="433"/>
      <c r="O3" s="433"/>
      <c r="P3" s="433"/>
      <c r="Q3" s="433"/>
      <c r="R3" s="433"/>
      <c r="S3" s="433"/>
      <c r="T3" s="433"/>
      <c r="U3" s="433"/>
      <c r="V3" s="434"/>
      <c r="W3" s="35"/>
      <c r="X3" s="99"/>
      <c r="Y3" s="99"/>
      <c r="Z3" s="99"/>
      <c r="AA3" s="99"/>
      <c r="AB3" s="99"/>
      <c r="AC3" s="99"/>
      <c r="AD3" s="99"/>
    </row>
    <row r="4" spans="1:30" x14ac:dyDescent="0.3">
      <c r="A4" s="77"/>
    </row>
    <row r="5" spans="1:30" x14ac:dyDescent="0.3">
      <c r="A5" s="77" t="s">
        <v>35</v>
      </c>
      <c r="R5" s="63"/>
      <c r="S5" s="63"/>
      <c r="T5" s="63"/>
      <c r="U5" s="63"/>
    </row>
    <row r="6" spans="1:30" x14ac:dyDescent="0.3">
      <c r="A6" s="71" t="s">
        <v>36</v>
      </c>
      <c r="R6" s="63"/>
      <c r="S6" s="63"/>
      <c r="T6" s="63"/>
      <c r="U6" s="63"/>
    </row>
    <row r="7" spans="1:30" x14ac:dyDescent="0.3">
      <c r="A7" s="71"/>
      <c r="R7" s="63"/>
      <c r="S7" s="63"/>
      <c r="T7" s="63"/>
      <c r="U7" s="63"/>
    </row>
    <row r="8" spans="1:30" x14ac:dyDescent="0.3">
      <c r="R8" s="63"/>
      <c r="S8" s="63"/>
      <c r="T8" s="63"/>
      <c r="U8" s="63"/>
    </row>
    <row r="9" spans="1:30" x14ac:dyDescent="0.3">
      <c r="A9" s="100" t="s">
        <v>19</v>
      </c>
      <c r="R9" s="63"/>
      <c r="S9" s="63"/>
      <c r="T9" s="63"/>
      <c r="U9" s="63"/>
    </row>
    <row r="10" spans="1:30" ht="28.8" x14ac:dyDescent="0.3">
      <c r="A10" s="101" t="s">
        <v>285</v>
      </c>
      <c r="B10" s="397" t="s">
        <v>458</v>
      </c>
      <c r="R10" s="63"/>
      <c r="S10" s="63"/>
      <c r="T10" s="63"/>
      <c r="U10" s="63"/>
    </row>
    <row r="11" spans="1:30" x14ac:dyDescent="0.3">
      <c r="A11" s="101" t="s">
        <v>286</v>
      </c>
      <c r="B11" s="207">
        <f>IF(B10="N","100",)</f>
        <v>0</v>
      </c>
      <c r="R11" s="63"/>
      <c r="S11" s="63"/>
      <c r="T11" s="63"/>
      <c r="U11" s="63"/>
    </row>
    <row r="12" spans="1:30" x14ac:dyDescent="0.3">
      <c r="A12" s="101" t="s">
        <v>287</v>
      </c>
      <c r="B12" s="208">
        <f>IF(B10="P","75",)</f>
        <v>0</v>
      </c>
      <c r="R12" s="63"/>
      <c r="S12" s="63"/>
      <c r="T12" s="63"/>
      <c r="U12" s="63"/>
    </row>
    <row r="13" spans="1:30" ht="15" customHeight="1" x14ac:dyDescent="0.3">
      <c r="A13" s="101" t="s">
        <v>288</v>
      </c>
      <c r="B13" s="208" t="str">
        <f>IF(B10="Y","60",)</f>
        <v>60</v>
      </c>
      <c r="R13" s="63"/>
      <c r="S13" s="63"/>
      <c r="T13" s="63"/>
      <c r="U13" s="63"/>
    </row>
    <row r="14" spans="1:30" ht="15" customHeight="1" x14ac:dyDescent="0.35">
      <c r="A14" s="101" t="s">
        <v>372</v>
      </c>
      <c r="B14" s="192">
        <f>B11*0.91</f>
        <v>0</v>
      </c>
      <c r="R14" s="63"/>
      <c r="S14" s="63"/>
      <c r="T14" s="63"/>
      <c r="U14" s="63"/>
    </row>
    <row r="15" spans="1:30" ht="15" customHeight="1" x14ac:dyDescent="0.35">
      <c r="A15" s="101" t="s">
        <v>373</v>
      </c>
      <c r="B15" s="194">
        <f>B12*0.91</f>
        <v>0</v>
      </c>
      <c r="R15" s="63"/>
      <c r="S15" s="63"/>
      <c r="T15" s="63"/>
      <c r="U15" s="63"/>
    </row>
    <row r="16" spans="1:30" ht="31.2" x14ac:dyDescent="0.35">
      <c r="A16" s="101" t="s">
        <v>374</v>
      </c>
      <c r="B16" s="193">
        <f>B13*0.91</f>
        <v>54.6</v>
      </c>
      <c r="R16" s="63"/>
      <c r="S16" s="63"/>
      <c r="T16" s="63"/>
      <c r="U16" s="63"/>
    </row>
    <row r="17" spans="1:33" x14ac:dyDescent="0.3">
      <c r="A17" s="101"/>
      <c r="B17" s="189"/>
      <c r="C17" s="102"/>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row>
    <row r="18" spans="1:33" ht="15.6" x14ac:dyDescent="0.35">
      <c r="A18" s="113" t="s">
        <v>375</v>
      </c>
      <c r="B18" s="105">
        <f>(B14*'1. LUC emissions'!B56)+(B15*'1. LUC emissions'!B56)+(B16*'1. LUC emissions'!B56)</f>
        <v>0</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row>
    <row r="19" spans="1:33" x14ac:dyDescent="0.3">
      <c r="A19" s="103"/>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row>
    <row r="20" spans="1:33" x14ac:dyDescent="0.3">
      <c r="A20" s="76"/>
      <c r="B20" s="108"/>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row>
    <row r="21" spans="1:33" x14ac:dyDescent="0.3">
      <c r="A21" s="89"/>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row>
    <row r="22" spans="1:33" x14ac:dyDescent="0.3">
      <c r="A22" s="76"/>
      <c r="B22" s="108"/>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76"/>
      <c r="AG22" s="76"/>
    </row>
    <row r="23" spans="1:33" x14ac:dyDescent="0.3">
      <c r="A23" s="76"/>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10"/>
      <c r="AG23" s="76"/>
    </row>
    <row r="24" spans="1:33" x14ac:dyDescent="0.3">
      <c r="A24" s="104"/>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11"/>
      <c r="AG24" s="93"/>
    </row>
    <row r="25" spans="1:33" x14ac:dyDescent="0.3">
      <c r="A25" s="412" t="s">
        <v>467</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92"/>
      <c r="AB25" s="76"/>
      <c r="AC25" s="76"/>
      <c r="AD25" s="76"/>
      <c r="AE25" s="76"/>
      <c r="AF25" s="111"/>
      <c r="AG25" s="76"/>
    </row>
    <row r="26" spans="1:33" hidden="1" x14ac:dyDescent="0.3">
      <c r="A26" s="176" t="s">
        <v>63</v>
      </c>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57"/>
      <c r="AB26" s="148"/>
      <c r="AC26" s="148"/>
      <c r="AD26" s="148"/>
      <c r="AE26" s="148"/>
      <c r="AF26" s="148"/>
      <c r="AG26" s="148"/>
    </row>
    <row r="27" spans="1:33" hidden="1" x14ac:dyDescent="0.3">
      <c r="A27" s="148" t="s">
        <v>1</v>
      </c>
      <c r="B27" s="156" t="e">
        <f>#REF!</f>
        <v>#REF!</v>
      </c>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57"/>
      <c r="AB27" s="148"/>
      <c r="AC27" s="148"/>
      <c r="AD27" s="148"/>
      <c r="AE27" s="148"/>
      <c r="AF27" s="148"/>
      <c r="AG27" s="148"/>
    </row>
    <row r="28" spans="1:33" hidden="1" x14ac:dyDescent="0.3">
      <c r="A28" s="151" t="s">
        <v>113</v>
      </c>
      <c r="B28" s="148">
        <v>1</v>
      </c>
      <c r="C28" s="148">
        <f t="shared" ref="C28:AB28" si="0">B28+1</f>
        <v>2</v>
      </c>
      <c r="D28" s="148">
        <f t="shared" si="0"/>
        <v>3</v>
      </c>
      <c r="E28" s="148">
        <f t="shared" si="0"/>
        <v>4</v>
      </c>
      <c r="F28" s="148">
        <f t="shared" si="0"/>
        <v>5</v>
      </c>
      <c r="G28" s="148">
        <f t="shared" si="0"/>
        <v>6</v>
      </c>
      <c r="H28" s="148">
        <f t="shared" si="0"/>
        <v>7</v>
      </c>
      <c r="I28" s="148">
        <f t="shared" si="0"/>
        <v>8</v>
      </c>
      <c r="J28" s="148">
        <f t="shared" si="0"/>
        <v>9</v>
      </c>
      <c r="K28" s="148">
        <f t="shared" si="0"/>
        <v>10</v>
      </c>
      <c r="L28" s="148">
        <f t="shared" si="0"/>
        <v>11</v>
      </c>
      <c r="M28" s="148">
        <f t="shared" si="0"/>
        <v>12</v>
      </c>
      <c r="N28" s="148">
        <f t="shared" si="0"/>
        <v>13</v>
      </c>
      <c r="O28" s="148">
        <f t="shared" si="0"/>
        <v>14</v>
      </c>
      <c r="P28" s="148">
        <f t="shared" si="0"/>
        <v>15</v>
      </c>
      <c r="Q28" s="148">
        <f t="shared" si="0"/>
        <v>16</v>
      </c>
      <c r="R28" s="148">
        <f t="shared" si="0"/>
        <v>17</v>
      </c>
      <c r="S28" s="148">
        <f t="shared" si="0"/>
        <v>18</v>
      </c>
      <c r="T28" s="148">
        <f t="shared" si="0"/>
        <v>19</v>
      </c>
      <c r="U28" s="148">
        <f t="shared" si="0"/>
        <v>20</v>
      </c>
      <c r="V28" s="148">
        <f t="shared" si="0"/>
        <v>21</v>
      </c>
      <c r="W28" s="148">
        <f t="shared" si="0"/>
        <v>22</v>
      </c>
      <c r="X28" s="148">
        <f t="shared" si="0"/>
        <v>23</v>
      </c>
      <c r="Y28" s="148">
        <f t="shared" si="0"/>
        <v>24</v>
      </c>
      <c r="Z28" s="148">
        <f t="shared" si="0"/>
        <v>25</v>
      </c>
      <c r="AA28" s="148">
        <f t="shared" si="0"/>
        <v>26</v>
      </c>
      <c r="AB28" s="148">
        <f t="shared" si="0"/>
        <v>27</v>
      </c>
      <c r="AC28" s="148">
        <f>AB28+1</f>
        <v>28</v>
      </c>
      <c r="AD28" s="148">
        <f>AC28+1</f>
        <v>29</v>
      </c>
      <c r="AE28" s="148">
        <f>AD28+1</f>
        <v>30</v>
      </c>
      <c r="AF28" s="148"/>
      <c r="AG28" s="148"/>
    </row>
    <row r="29" spans="1:33" hidden="1" x14ac:dyDescent="0.3">
      <c r="A29" s="148" t="s">
        <v>68</v>
      </c>
      <c r="B29" s="156" t="e">
        <f>#REF!</f>
        <v>#REF!</v>
      </c>
      <c r="C29" s="158" t="e">
        <f>B29-1</f>
        <v>#REF!</v>
      </c>
      <c r="D29" s="158" t="e">
        <f t="shared" ref="D29:AE29" si="1">C29-1</f>
        <v>#REF!</v>
      </c>
      <c r="E29" s="158" t="e">
        <f t="shared" si="1"/>
        <v>#REF!</v>
      </c>
      <c r="F29" s="158" t="e">
        <f t="shared" si="1"/>
        <v>#REF!</v>
      </c>
      <c r="G29" s="158" t="e">
        <f t="shared" si="1"/>
        <v>#REF!</v>
      </c>
      <c r="H29" s="158" t="e">
        <f t="shared" si="1"/>
        <v>#REF!</v>
      </c>
      <c r="I29" s="158" t="e">
        <f t="shared" si="1"/>
        <v>#REF!</v>
      </c>
      <c r="J29" s="158" t="e">
        <f t="shared" si="1"/>
        <v>#REF!</v>
      </c>
      <c r="K29" s="158" t="e">
        <f t="shared" si="1"/>
        <v>#REF!</v>
      </c>
      <c r="L29" s="158" t="e">
        <f t="shared" si="1"/>
        <v>#REF!</v>
      </c>
      <c r="M29" s="158" t="e">
        <f t="shared" si="1"/>
        <v>#REF!</v>
      </c>
      <c r="N29" s="158" t="e">
        <f t="shared" si="1"/>
        <v>#REF!</v>
      </c>
      <c r="O29" s="158" t="e">
        <f t="shared" si="1"/>
        <v>#REF!</v>
      </c>
      <c r="P29" s="158" t="e">
        <f t="shared" si="1"/>
        <v>#REF!</v>
      </c>
      <c r="Q29" s="158" t="e">
        <f t="shared" si="1"/>
        <v>#REF!</v>
      </c>
      <c r="R29" s="158" t="e">
        <f t="shared" si="1"/>
        <v>#REF!</v>
      </c>
      <c r="S29" s="158" t="e">
        <f t="shared" si="1"/>
        <v>#REF!</v>
      </c>
      <c r="T29" s="158" t="e">
        <f t="shared" si="1"/>
        <v>#REF!</v>
      </c>
      <c r="U29" s="158" t="e">
        <f t="shared" si="1"/>
        <v>#REF!</v>
      </c>
      <c r="V29" s="158" t="e">
        <f t="shared" si="1"/>
        <v>#REF!</v>
      </c>
      <c r="W29" s="158" t="e">
        <f t="shared" si="1"/>
        <v>#REF!</v>
      </c>
      <c r="X29" s="158" t="e">
        <f t="shared" si="1"/>
        <v>#REF!</v>
      </c>
      <c r="Y29" s="158" t="e">
        <f t="shared" si="1"/>
        <v>#REF!</v>
      </c>
      <c r="Z29" s="158" t="e">
        <f t="shared" si="1"/>
        <v>#REF!</v>
      </c>
      <c r="AA29" s="158" t="e">
        <f t="shared" si="1"/>
        <v>#REF!</v>
      </c>
      <c r="AB29" s="158" t="e">
        <f t="shared" si="1"/>
        <v>#REF!</v>
      </c>
      <c r="AC29" s="158" t="e">
        <f t="shared" si="1"/>
        <v>#REF!</v>
      </c>
      <c r="AD29" s="158" t="e">
        <f t="shared" si="1"/>
        <v>#REF!</v>
      </c>
      <c r="AE29" s="158" t="e">
        <f t="shared" si="1"/>
        <v>#REF!</v>
      </c>
      <c r="AF29" s="148"/>
      <c r="AG29" s="148"/>
    </row>
    <row r="30" spans="1:33" ht="15.6" hidden="1" x14ac:dyDescent="0.35">
      <c r="A30" s="148" t="s">
        <v>37</v>
      </c>
      <c r="B30" s="175" t="e">
        <f>#REF!</f>
        <v>#REF!</v>
      </c>
      <c r="C30" s="175" t="e">
        <f>#REF!</f>
        <v>#REF!</v>
      </c>
      <c r="D30" s="175" t="e">
        <f>#REF!</f>
        <v>#REF!</v>
      </c>
      <c r="E30" s="175" t="e">
        <f>#REF!</f>
        <v>#REF!</v>
      </c>
      <c r="F30" s="175" t="e">
        <f>#REF!</f>
        <v>#REF!</v>
      </c>
      <c r="G30" s="175" t="e">
        <f>#REF!</f>
        <v>#REF!</v>
      </c>
      <c r="H30" s="175" t="e">
        <f>#REF!</f>
        <v>#REF!</v>
      </c>
      <c r="I30" s="175" t="e">
        <f>#REF!</f>
        <v>#REF!</v>
      </c>
      <c r="J30" s="175" t="e">
        <f>#REF!</f>
        <v>#REF!</v>
      </c>
      <c r="K30" s="175" t="e">
        <f>#REF!</f>
        <v>#REF!</v>
      </c>
      <c r="L30" s="175" t="e">
        <f>#REF!</f>
        <v>#REF!</v>
      </c>
      <c r="M30" s="175" t="e">
        <f>#REF!</f>
        <v>#REF!</v>
      </c>
      <c r="N30" s="175" t="e">
        <f>#REF!</f>
        <v>#REF!</v>
      </c>
      <c r="O30" s="175" t="e">
        <f>#REF!</f>
        <v>#REF!</v>
      </c>
      <c r="P30" s="175" t="e">
        <f>#REF!</f>
        <v>#REF!</v>
      </c>
      <c r="Q30" s="175" t="e">
        <f>#REF!</f>
        <v>#REF!</v>
      </c>
      <c r="R30" s="175" t="e">
        <f>#REF!</f>
        <v>#REF!</v>
      </c>
      <c r="S30" s="175" t="e">
        <f>#REF!</f>
        <v>#REF!</v>
      </c>
      <c r="T30" s="175" t="e">
        <f>#REF!</f>
        <v>#REF!</v>
      </c>
      <c r="U30" s="175" t="e">
        <f>#REF!</f>
        <v>#REF!</v>
      </c>
      <c r="V30" s="175" t="e">
        <f>#REF!</f>
        <v>#REF!</v>
      </c>
      <c r="W30" s="175" t="e">
        <f>#REF!</f>
        <v>#REF!</v>
      </c>
      <c r="X30" s="175" t="e">
        <f>#REF!</f>
        <v>#REF!</v>
      </c>
      <c r="Y30" s="175" t="e">
        <f>#REF!</f>
        <v>#REF!</v>
      </c>
      <c r="Z30" s="175" t="e">
        <f>#REF!</f>
        <v>#REF!</v>
      </c>
      <c r="AA30" s="175" t="e">
        <f>#REF!</f>
        <v>#REF!</v>
      </c>
      <c r="AB30" s="175" t="e">
        <f>#REF!</f>
        <v>#REF!</v>
      </c>
      <c r="AC30" s="175" t="e">
        <f>#REF!</f>
        <v>#REF!</v>
      </c>
      <c r="AD30" s="175" t="e">
        <f>#REF!</f>
        <v>#REF!</v>
      </c>
      <c r="AE30" s="175" t="e">
        <f>#REF!</f>
        <v>#REF!</v>
      </c>
      <c r="AF30" s="164" t="s">
        <v>118</v>
      </c>
      <c r="AG30" s="148" t="s">
        <v>119</v>
      </c>
    </row>
    <row r="31" spans="1:33" ht="15.6" hidden="1" x14ac:dyDescent="0.3">
      <c r="A31" s="177" t="s">
        <v>120</v>
      </c>
      <c r="B31" s="158" t="e">
        <f>B30*$B$17</f>
        <v>#REF!</v>
      </c>
      <c r="C31" s="158" t="e">
        <f t="shared" ref="C31:AE31" si="2">C30*$B$17</f>
        <v>#REF!</v>
      </c>
      <c r="D31" s="158" t="e">
        <f t="shared" si="2"/>
        <v>#REF!</v>
      </c>
      <c r="E31" s="158" t="e">
        <f t="shared" si="2"/>
        <v>#REF!</v>
      </c>
      <c r="F31" s="158" t="e">
        <f t="shared" si="2"/>
        <v>#REF!</v>
      </c>
      <c r="G31" s="158" t="e">
        <f t="shared" si="2"/>
        <v>#REF!</v>
      </c>
      <c r="H31" s="158" t="e">
        <f t="shared" si="2"/>
        <v>#REF!</v>
      </c>
      <c r="I31" s="158" t="e">
        <f t="shared" si="2"/>
        <v>#REF!</v>
      </c>
      <c r="J31" s="158" t="e">
        <f t="shared" si="2"/>
        <v>#REF!</v>
      </c>
      <c r="K31" s="158" t="e">
        <f t="shared" si="2"/>
        <v>#REF!</v>
      </c>
      <c r="L31" s="158" t="e">
        <f t="shared" si="2"/>
        <v>#REF!</v>
      </c>
      <c r="M31" s="158" t="e">
        <f t="shared" si="2"/>
        <v>#REF!</v>
      </c>
      <c r="N31" s="158" t="e">
        <f t="shared" si="2"/>
        <v>#REF!</v>
      </c>
      <c r="O31" s="158" t="e">
        <f t="shared" si="2"/>
        <v>#REF!</v>
      </c>
      <c r="P31" s="158" t="e">
        <f t="shared" si="2"/>
        <v>#REF!</v>
      </c>
      <c r="Q31" s="158" t="e">
        <f t="shared" si="2"/>
        <v>#REF!</v>
      </c>
      <c r="R31" s="158" t="e">
        <f t="shared" si="2"/>
        <v>#REF!</v>
      </c>
      <c r="S31" s="158" t="e">
        <f t="shared" si="2"/>
        <v>#REF!</v>
      </c>
      <c r="T31" s="158" t="e">
        <f t="shared" si="2"/>
        <v>#REF!</v>
      </c>
      <c r="U31" s="158" t="e">
        <f t="shared" si="2"/>
        <v>#REF!</v>
      </c>
      <c r="V31" s="158" t="e">
        <f t="shared" si="2"/>
        <v>#REF!</v>
      </c>
      <c r="W31" s="158" t="e">
        <f t="shared" si="2"/>
        <v>#REF!</v>
      </c>
      <c r="X31" s="158" t="e">
        <f t="shared" si="2"/>
        <v>#REF!</v>
      </c>
      <c r="Y31" s="158" t="e">
        <f t="shared" si="2"/>
        <v>#REF!</v>
      </c>
      <c r="Z31" s="158" t="e">
        <f t="shared" si="2"/>
        <v>#REF!</v>
      </c>
      <c r="AA31" s="158" t="e">
        <f t="shared" si="2"/>
        <v>#REF!</v>
      </c>
      <c r="AB31" s="158" t="e">
        <f t="shared" si="2"/>
        <v>#REF!</v>
      </c>
      <c r="AC31" s="158" t="e">
        <f t="shared" si="2"/>
        <v>#REF!</v>
      </c>
      <c r="AD31" s="158" t="e">
        <f t="shared" si="2"/>
        <v>#REF!</v>
      </c>
      <c r="AE31" s="158" t="e">
        <f t="shared" si="2"/>
        <v>#REF!</v>
      </c>
      <c r="AF31" s="178" t="e">
        <f>SUM(B31:AE31)</f>
        <v>#REF!</v>
      </c>
      <c r="AG31" s="150" t="e">
        <f>IF(#REF!=0,0,AF31/#REF!)</f>
        <v>#REF!</v>
      </c>
    </row>
  </sheetData>
  <sheetProtection formatCells="0" formatColumns="0" formatRows="0" insertColumns="0" insertRows="0"/>
  <customSheetViews>
    <customSheetView guid="{E65377FD-65C5-4E48-ADBC-1C49981F2400}" topLeftCell="A7">
      <selection activeCell="B15" sqref="B15:B17"/>
      <pageMargins left="0.7" right="0.7" top="0.75" bottom="0.75" header="0.3" footer="0.3"/>
      <pageSetup orientation="portrait" r:id="rId1"/>
    </customSheetView>
  </customSheetViews>
  <mergeCells count="1">
    <mergeCell ref="A2:V3"/>
  </mergeCell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2:L273"/>
  <sheetViews>
    <sheetView zoomScaleNormal="100" workbookViewId="0">
      <selection activeCell="B271" sqref="B271"/>
    </sheetView>
  </sheetViews>
  <sheetFormatPr defaultRowHeight="14.4" x14ac:dyDescent="0.3"/>
  <cols>
    <col min="1" max="1" width="16.6640625" customWidth="1"/>
    <col min="2" max="2" width="18.88671875" customWidth="1"/>
    <col min="3" max="3" width="15" customWidth="1"/>
    <col min="4" max="4" width="12.5546875"/>
    <col min="5" max="5" width="23.88671875" customWidth="1"/>
    <col min="6" max="6" width="20" customWidth="1"/>
    <col min="7" max="7" width="19.44140625" customWidth="1"/>
    <col min="8" max="8" width="19.33203125" customWidth="1"/>
    <col min="9" max="9" width="21.88671875" customWidth="1"/>
    <col min="10" max="10" width="15.6640625" customWidth="1"/>
    <col min="11" max="12" width="13.33203125" bestFit="1" customWidth="1"/>
  </cols>
  <sheetData>
    <row r="2" spans="1:10" ht="51" customHeight="1" x14ac:dyDescent="0.3">
      <c r="A2" s="435" t="s">
        <v>427</v>
      </c>
      <c r="B2" s="436"/>
      <c r="C2" s="436"/>
      <c r="D2" s="436"/>
      <c r="E2" s="436"/>
      <c r="F2" s="436"/>
      <c r="G2" s="436"/>
      <c r="H2" s="437"/>
    </row>
    <row r="4" spans="1:10" x14ac:dyDescent="0.3">
      <c r="A4" s="7" t="s">
        <v>219</v>
      </c>
      <c r="B4" s="11"/>
      <c r="C4" s="11"/>
      <c r="D4" s="11"/>
      <c r="E4" s="11"/>
      <c r="F4" s="11"/>
      <c r="G4" s="11"/>
      <c r="H4" s="11"/>
      <c r="I4" s="11"/>
      <c r="J4" s="11"/>
    </row>
    <row r="5" spans="1:10" x14ac:dyDescent="0.3">
      <c r="A5" s="11"/>
      <c r="B5" s="11"/>
      <c r="C5" s="11"/>
      <c r="D5" s="11"/>
      <c r="E5" s="11"/>
      <c r="F5" s="11"/>
      <c r="G5" s="11"/>
      <c r="H5" s="11"/>
      <c r="I5" s="11"/>
      <c r="J5" s="11"/>
    </row>
    <row r="6" spans="1:10" x14ac:dyDescent="0.3">
      <c r="A6" s="11" t="s">
        <v>220</v>
      </c>
      <c r="B6" s="11"/>
      <c r="C6" s="188" t="s">
        <v>460</v>
      </c>
      <c r="D6" s="140"/>
      <c r="E6" s="11"/>
      <c r="F6" s="11"/>
      <c r="G6" s="11"/>
      <c r="H6" s="11"/>
      <c r="I6" s="11"/>
      <c r="J6" s="11"/>
    </row>
    <row r="7" spans="1:10" x14ac:dyDescent="0.3">
      <c r="A7" s="11"/>
      <c r="B7" s="11"/>
      <c r="C7" s="11"/>
      <c r="D7" s="11"/>
      <c r="E7" s="11"/>
      <c r="F7" s="11"/>
      <c r="G7" s="11"/>
      <c r="H7" s="11"/>
      <c r="I7" s="11"/>
      <c r="J7" s="140"/>
    </row>
    <row r="8" spans="1:10" ht="32.1" customHeight="1" x14ac:dyDescent="0.3">
      <c r="A8" s="7" t="s">
        <v>221</v>
      </c>
      <c r="B8" s="11"/>
      <c r="C8" s="11"/>
      <c r="D8" s="11"/>
      <c r="E8" s="438" t="s">
        <v>376</v>
      </c>
      <c r="F8" s="438"/>
      <c r="G8" s="438"/>
      <c r="H8" s="438"/>
      <c r="I8" s="438"/>
      <c r="J8" s="438"/>
    </row>
    <row r="9" spans="1:10" x14ac:dyDescent="0.3">
      <c r="A9" s="11"/>
      <c r="B9" s="11"/>
      <c r="C9" s="11"/>
      <c r="D9" s="11"/>
      <c r="E9" s="11"/>
      <c r="F9" s="11"/>
      <c r="G9" s="11"/>
      <c r="H9" s="11"/>
      <c r="I9" s="11"/>
      <c r="J9" s="11"/>
    </row>
    <row r="10" spans="1:10" ht="28.8" x14ac:dyDescent="0.3">
      <c r="A10" s="11"/>
      <c r="B10" s="11"/>
      <c r="C10" s="11"/>
      <c r="D10" s="11"/>
      <c r="E10" s="258" t="s">
        <v>222</v>
      </c>
      <c r="F10" s="258" t="s">
        <v>223</v>
      </c>
      <c r="G10" s="258" t="s">
        <v>224</v>
      </c>
      <c r="H10" s="258" t="s">
        <v>225</v>
      </c>
      <c r="I10" s="258" t="s">
        <v>226</v>
      </c>
      <c r="J10" s="11"/>
    </row>
    <row r="11" spans="1:10" x14ac:dyDescent="0.3">
      <c r="A11" s="11" t="s">
        <v>227</v>
      </c>
      <c r="B11" s="11"/>
      <c r="C11" s="188"/>
      <c r="D11" s="11" t="s">
        <v>228</v>
      </c>
      <c r="E11" s="188"/>
      <c r="F11" s="188"/>
      <c r="G11" s="188"/>
      <c r="H11" s="188"/>
      <c r="I11" s="188"/>
      <c r="J11" s="259" t="str">
        <f>CONCATENATE(E11,F11,G11,H11,I11)</f>
        <v/>
      </c>
    </row>
    <row r="12" spans="1:10" ht="28.8" x14ac:dyDescent="0.3">
      <c r="A12" s="11"/>
      <c r="B12" s="11"/>
      <c r="C12" s="140"/>
      <c r="D12" s="11"/>
      <c r="E12" s="258" t="s">
        <v>229</v>
      </c>
      <c r="F12" s="258" t="s">
        <v>230</v>
      </c>
      <c r="G12" s="258" t="s">
        <v>231</v>
      </c>
      <c r="H12" s="13"/>
      <c r="I12" s="11"/>
      <c r="J12" s="11"/>
    </row>
    <row r="13" spans="1:10" x14ac:dyDescent="0.3">
      <c r="A13" s="11" t="s">
        <v>232</v>
      </c>
      <c r="B13" s="11"/>
      <c r="C13" s="188"/>
      <c r="D13" s="11" t="s">
        <v>233</v>
      </c>
      <c r="E13" s="188"/>
      <c r="F13" s="188"/>
      <c r="G13" s="188"/>
      <c r="H13" s="259" t="str">
        <f>CONCATENATE(E13,F13,G13)</f>
        <v/>
      </c>
      <c r="I13" s="260" t="str">
        <f>IF(H13&gt;"Y","WARNING","")</f>
        <v/>
      </c>
      <c r="J13" s="11"/>
    </row>
    <row r="14" spans="1:10" ht="43.2" x14ac:dyDescent="0.3">
      <c r="A14" s="11"/>
      <c r="B14" s="11"/>
      <c r="C14" s="140"/>
      <c r="D14" s="11"/>
      <c r="E14" s="258" t="s">
        <v>234</v>
      </c>
      <c r="F14" s="258" t="s">
        <v>235</v>
      </c>
      <c r="G14" s="11"/>
      <c r="H14" s="11"/>
      <c r="I14" s="11"/>
      <c r="J14" s="11"/>
    </row>
    <row r="15" spans="1:10" x14ac:dyDescent="0.3">
      <c r="A15" s="11" t="s">
        <v>236</v>
      </c>
      <c r="B15" s="11"/>
      <c r="C15" s="188"/>
      <c r="D15" s="11" t="s">
        <v>237</v>
      </c>
      <c r="E15" s="188"/>
      <c r="F15" s="188"/>
      <c r="G15" s="259" t="str">
        <f>CONCATENATE(E15,F15)</f>
        <v/>
      </c>
      <c r="H15" s="11" t="str">
        <f>IF(G15&gt;"Y","WARNING","")</f>
        <v/>
      </c>
      <c r="I15" s="11"/>
      <c r="J15" s="11"/>
    </row>
    <row r="16" spans="1:10" x14ac:dyDescent="0.3">
      <c r="A16" s="11"/>
      <c r="B16" s="11"/>
      <c r="C16" s="11"/>
      <c r="D16" s="11"/>
      <c r="E16" s="11"/>
      <c r="F16" s="11"/>
      <c r="G16" s="11"/>
      <c r="H16" s="11"/>
      <c r="I16" s="11"/>
      <c r="J16" s="11"/>
    </row>
    <row r="17" spans="1:10" x14ac:dyDescent="0.3">
      <c r="A17" s="11"/>
      <c r="B17" s="11"/>
      <c r="C17" s="11"/>
      <c r="D17" s="11"/>
      <c r="E17" s="11"/>
      <c r="F17" s="11"/>
      <c r="G17" s="11"/>
      <c r="H17" s="11"/>
      <c r="I17" s="11"/>
      <c r="J17" s="11"/>
    </row>
    <row r="18" spans="1:10" x14ac:dyDescent="0.3">
      <c r="A18" s="7" t="s">
        <v>238</v>
      </c>
      <c r="B18" s="11"/>
      <c r="C18" s="11"/>
      <c r="D18" s="11"/>
      <c r="E18" s="261"/>
      <c r="F18" s="140"/>
      <c r="G18" s="140"/>
      <c r="H18" s="140"/>
      <c r="I18" s="140"/>
      <c r="J18" s="11"/>
    </row>
    <row r="19" spans="1:10" x14ac:dyDescent="0.3">
      <c r="A19" s="11"/>
      <c r="B19" s="11"/>
      <c r="C19" s="11"/>
      <c r="D19" s="11"/>
      <c r="E19" s="140"/>
      <c r="F19" s="140"/>
      <c r="G19" s="140"/>
      <c r="H19" s="140"/>
      <c r="I19" s="140"/>
      <c r="J19" s="11"/>
    </row>
    <row r="20" spans="1:10" x14ac:dyDescent="0.3">
      <c r="A20" s="11" t="s">
        <v>239</v>
      </c>
      <c r="B20" s="11"/>
      <c r="C20" s="188"/>
      <c r="D20" s="11" t="s">
        <v>240</v>
      </c>
      <c r="E20" s="261"/>
      <c r="F20" s="140"/>
      <c r="G20" s="140"/>
      <c r="H20" s="140"/>
      <c r="I20" s="140"/>
      <c r="J20" s="11"/>
    </row>
    <row r="21" spans="1:10" x14ac:dyDescent="0.3">
      <c r="A21" s="11" t="s">
        <v>241</v>
      </c>
      <c r="B21" s="11"/>
      <c r="C21" s="188"/>
      <c r="D21" s="11" t="s">
        <v>242</v>
      </c>
      <c r="E21" s="140"/>
      <c r="F21" s="140"/>
      <c r="G21" s="140"/>
      <c r="H21" s="140"/>
      <c r="I21" s="140"/>
      <c r="J21" s="11"/>
    </row>
    <row r="22" spans="1:10" x14ac:dyDescent="0.3">
      <c r="A22" s="11" t="s">
        <v>243</v>
      </c>
      <c r="B22" s="11"/>
      <c r="C22" s="188"/>
      <c r="D22" s="11" t="s">
        <v>244</v>
      </c>
      <c r="E22" s="261"/>
      <c r="F22" s="140"/>
      <c r="G22" s="140"/>
      <c r="H22" s="140"/>
      <c r="I22" s="140"/>
      <c r="J22" s="11"/>
    </row>
    <row r="23" spans="1:10" x14ac:dyDescent="0.3">
      <c r="A23" s="11"/>
      <c r="B23" s="11"/>
      <c r="C23" s="11"/>
      <c r="D23" s="11"/>
      <c r="E23" s="140"/>
      <c r="F23" s="140"/>
      <c r="G23" s="140"/>
      <c r="H23" s="140"/>
      <c r="I23" s="140"/>
      <c r="J23" s="11"/>
    </row>
    <row r="24" spans="1:10" x14ac:dyDescent="0.3">
      <c r="A24" s="11"/>
      <c r="B24" s="11"/>
      <c r="C24" s="11"/>
      <c r="D24" s="11"/>
      <c r="E24" s="140"/>
      <c r="F24" s="140"/>
      <c r="G24" s="140"/>
      <c r="H24" s="140"/>
      <c r="I24" s="140"/>
      <c r="J24" s="11"/>
    </row>
    <row r="25" spans="1:10" x14ac:dyDescent="0.3">
      <c r="A25" s="7" t="s">
        <v>245</v>
      </c>
      <c r="B25" s="11"/>
      <c r="C25" s="11"/>
      <c r="D25" s="11"/>
      <c r="E25" s="261"/>
      <c r="F25" s="140"/>
      <c r="G25" s="140"/>
      <c r="H25" s="140"/>
      <c r="I25" s="140"/>
      <c r="J25" s="11"/>
    </row>
    <row r="26" spans="1:10" x14ac:dyDescent="0.3">
      <c r="A26" s="11" t="s">
        <v>246</v>
      </c>
      <c r="B26" s="11"/>
      <c r="C26" s="188"/>
      <c r="D26" s="11" t="s">
        <v>247</v>
      </c>
      <c r="E26" s="140"/>
      <c r="F26" s="140"/>
      <c r="G26" s="140"/>
      <c r="H26" s="140"/>
      <c r="I26" s="140"/>
      <c r="J26" s="11"/>
    </row>
    <row r="27" spans="1:10" x14ac:dyDescent="0.3">
      <c r="A27" s="11" t="s">
        <v>248</v>
      </c>
      <c r="B27" s="11"/>
      <c r="C27" s="188"/>
      <c r="D27" s="11" t="s">
        <v>249</v>
      </c>
      <c r="E27" s="261"/>
      <c r="F27" s="140"/>
      <c r="G27" s="140"/>
      <c r="H27" s="140"/>
      <c r="I27" s="140"/>
      <c r="J27" s="11"/>
    </row>
    <row r="28" spans="1:10" x14ac:dyDescent="0.3">
      <c r="A28" s="11" t="s">
        <v>250</v>
      </c>
      <c r="B28" s="11"/>
      <c r="C28" s="188"/>
      <c r="D28" s="11" t="s">
        <v>251</v>
      </c>
      <c r="E28" s="261"/>
      <c r="F28" s="140"/>
      <c r="G28" s="140"/>
      <c r="H28" s="140"/>
      <c r="I28" s="140"/>
      <c r="J28" s="11"/>
    </row>
    <row r="29" spans="1:10" x14ac:dyDescent="0.3">
      <c r="A29" s="11" t="s">
        <v>252</v>
      </c>
      <c r="B29" s="11"/>
      <c r="C29" s="188"/>
      <c r="D29" s="11" t="s">
        <v>253</v>
      </c>
      <c r="E29" s="140"/>
      <c r="F29" s="140"/>
      <c r="G29" s="140"/>
      <c r="H29" s="140"/>
      <c r="I29" s="140"/>
      <c r="J29" s="11"/>
    </row>
    <row r="30" spans="1:10" x14ac:dyDescent="0.3">
      <c r="A30" s="11"/>
      <c r="B30" s="11"/>
      <c r="C30" s="140"/>
      <c r="D30" s="11"/>
      <c r="E30" s="140"/>
      <c r="F30" s="11"/>
      <c r="G30" s="140"/>
      <c r="H30" s="140"/>
      <c r="I30" s="140"/>
      <c r="J30" s="11"/>
    </row>
    <row r="31" spans="1:10" x14ac:dyDescent="0.3">
      <c r="A31" s="11"/>
      <c r="B31" s="11"/>
      <c r="C31" s="11"/>
      <c r="D31" s="11"/>
      <c r="E31" s="140"/>
      <c r="F31" s="140"/>
      <c r="G31" s="140"/>
      <c r="H31" s="140"/>
      <c r="I31" s="140"/>
      <c r="J31" s="11"/>
    </row>
    <row r="32" spans="1:10" x14ac:dyDescent="0.3">
      <c r="A32" s="11"/>
      <c r="B32" s="11"/>
      <c r="C32" s="11"/>
      <c r="D32" s="11"/>
      <c r="E32" s="11"/>
      <c r="F32" s="11"/>
      <c r="G32" s="11"/>
      <c r="H32" s="11"/>
      <c r="I32" s="11"/>
      <c r="J32" s="11"/>
    </row>
    <row r="33" spans="1:10" x14ac:dyDescent="0.3">
      <c r="A33" s="11"/>
      <c r="B33" s="11"/>
      <c r="C33" s="11"/>
      <c r="D33" s="11"/>
      <c r="E33" s="11"/>
      <c r="F33" s="11"/>
      <c r="G33" s="11"/>
      <c r="H33" s="11"/>
      <c r="I33" s="11"/>
      <c r="J33" s="11"/>
    </row>
    <row r="34" spans="1:10" x14ac:dyDescent="0.3">
      <c r="A34" s="262" t="s">
        <v>254</v>
      </c>
      <c r="B34" s="262"/>
      <c r="C34" s="263">
        <f>1000*((('5. User defined fertiliser'!C11/100)*'Default data'!C73:D73)+(('5. User defined fertiliser'!C13/100)*'Default data'!C79:D79)+(('5. User defined fertiliser'!C15/100)*'Default data'!C84:D84)+(('5. User defined fertiliser'!C20/100)*'Default data'!C86:D86)+(('5. User defined fertiliser'!C21/100)*'Default data'!C87:D87)+(('5. User defined fertiliser'!C22/100)*'Default data'!C88:D88)+(('5. User defined fertiliser'!C26/100)*'Default data'!C89:D89)+(('5. User defined fertiliser'!C27/100)*'Default data'!C90:D90)+(('5. User defined fertiliser'!C28/100)*'Default data'!C91:D91)+(('5. User defined fertiliser'!C29/100)*'Default data'!C92:D92))</f>
        <v>0</v>
      </c>
      <c r="D34" s="11"/>
      <c r="E34" s="11"/>
      <c r="F34" s="11"/>
      <c r="G34" s="11"/>
      <c r="H34" s="11"/>
      <c r="I34" s="11"/>
      <c r="J34" s="11"/>
    </row>
    <row r="35" spans="1:10" s="327" customFormat="1" ht="15" thickBot="1" x14ac:dyDescent="0.35"/>
    <row r="36" spans="1:10" x14ac:dyDescent="0.3">
      <c r="A36" s="279"/>
      <c r="B36" s="279"/>
      <c r="C36" s="279"/>
      <c r="D36" s="279"/>
      <c r="E36" s="279"/>
      <c r="F36" s="279"/>
      <c r="G36" s="279"/>
      <c r="H36" s="279"/>
      <c r="I36" s="279"/>
      <c r="J36" s="279"/>
    </row>
    <row r="37" spans="1:10" x14ac:dyDescent="0.3">
      <c r="A37" s="279" t="s">
        <v>220</v>
      </c>
      <c r="B37" s="279"/>
      <c r="C37" s="188" t="s">
        <v>422</v>
      </c>
      <c r="D37" s="140"/>
      <c r="E37" s="279"/>
      <c r="F37" s="279"/>
      <c r="G37" s="279"/>
      <c r="H37" s="279"/>
      <c r="I37" s="279"/>
      <c r="J37" s="279"/>
    </row>
    <row r="38" spans="1:10" x14ac:dyDescent="0.3">
      <c r="A38" s="279"/>
      <c r="B38" s="279"/>
      <c r="C38" s="279"/>
      <c r="D38" s="279"/>
      <c r="E38" s="279"/>
      <c r="F38" s="279"/>
      <c r="G38" s="279"/>
      <c r="H38" s="279"/>
      <c r="I38" s="279"/>
      <c r="J38" s="140"/>
    </row>
    <row r="39" spans="1:10" ht="32.1" customHeight="1" x14ac:dyDescent="0.3">
      <c r="A39" s="278" t="s">
        <v>221</v>
      </c>
      <c r="B39" s="279"/>
      <c r="C39" s="279"/>
      <c r="D39" s="279"/>
      <c r="E39" s="438" t="s">
        <v>376</v>
      </c>
      <c r="F39" s="438"/>
      <c r="G39" s="438"/>
      <c r="H39" s="438"/>
      <c r="I39" s="438"/>
      <c r="J39" s="438"/>
    </row>
    <row r="40" spans="1:10" x14ac:dyDescent="0.3">
      <c r="A40" s="279"/>
      <c r="B40" s="279"/>
      <c r="C40" s="279"/>
      <c r="D40" s="279"/>
      <c r="E40" s="279"/>
      <c r="F40" s="279"/>
      <c r="G40" s="279"/>
      <c r="H40" s="279"/>
      <c r="I40" s="279"/>
      <c r="J40" s="279"/>
    </row>
    <row r="41" spans="1:10" ht="28.8" x14ac:dyDescent="0.3">
      <c r="A41" s="279"/>
      <c r="B41" s="279"/>
      <c r="C41" s="279"/>
      <c r="D41" s="279"/>
      <c r="E41" s="258" t="s">
        <v>222</v>
      </c>
      <c r="F41" s="258" t="s">
        <v>223</v>
      </c>
      <c r="G41" s="258" t="s">
        <v>224</v>
      </c>
      <c r="H41" s="258" t="s">
        <v>225</v>
      </c>
      <c r="I41" s="258" t="s">
        <v>226</v>
      </c>
      <c r="J41" s="279"/>
    </row>
    <row r="42" spans="1:10" x14ac:dyDescent="0.3">
      <c r="A42" s="279" t="s">
        <v>227</v>
      </c>
      <c r="B42" s="279"/>
      <c r="C42" s="188"/>
      <c r="D42" s="279" t="s">
        <v>228</v>
      </c>
      <c r="E42" s="188"/>
      <c r="F42" s="188"/>
      <c r="G42" s="188"/>
      <c r="H42" s="188"/>
      <c r="I42" s="188"/>
      <c r="J42" s="259" t="str">
        <f>CONCATENATE(E42,F42,G42,H42,I42)</f>
        <v/>
      </c>
    </row>
    <row r="43" spans="1:10" ht="28.8" x14ac:dyDescent="0.3">
      <c r="A43" s="279"/>
      <c r="B43" s="279"/>
      <c r="C43" s="140"/>
      <c r="D43" s="279"/>
      <c r="E43" s="258" t="s">
        <v>229</v>
      </c>
      <c r="F43" s="258" t="s">
        <v>230</v>
      </c>
      <c r="G43" s="258" t="s">
        <v>231</v>
      </c>
      <c r="H43" s="13"/>
      <c r="I43" s="279"/>
      <c r="J43" s="279"/>
    </row>
    <row r="44" spans="1:10" x14ac:dyDescent="0.3">
      <c r="A44" s="279" t="s">
        <v>232</v>
      </c>
      <c r="B44" s="279"/>
      <c r="C44" s="188"/>
      <c r="D44" s="279" t="s">
        <v>233</v>
      </c>
      <c r="E44" s="188"/>
      <c r="F44" s="188"/>
      <c r="G44" s="188"/>
      <c r="H44" s="259" t="str">
        <f>CONCATENATE(E44,F44,G44)</f>
        <v/>
      </c>
      <c r="I44" s="260" t="str">
        <f>IF(H44&gt;"Y","WARNING","")</f>
        <v/>
      </c>
      <c r="J44" s="279"/>
    </row>
    <row r="45" spans="1:10" ht="43.2" x14ac:dyDescent="0.3">
      <c r="A45" s="279"/>
      <c r="B45" s="279"/>
      <c r="C45" s="140"/>
      <c r="D45" s="279"/>
      <c r="E45" s="258" t="s">
        <v>234</v>
      </c>
      <c r="F45" s="258" t="s">
        <v>235</v>
      </c>
      <c r="G45" s="279"/>
      <c r="H45" s="279"/>
      <c r="I45" s="279"/>
      <c r="J45" s="279"/>
    </row>
    <row r="46" spans="1:10" x14ac:dyDescent="0.3">
      <c r="A46" s="279" t="s">
        <v>236</v>
      </c>
      <c r="B46" s="279"/>
      <c r="C46" s="188"/>
      <c r="D46" s="279" t="s">
        <v>237</v>
      </c>
      <c r="E46" s="188"/>
      <c r="F46" s="188"/>
      <c r="G46" s="259" t="str">
        <f>CONCATENATE(E46,F46)</f>
        <v/>
      </c>
      <c r="H46" s="279" t="str">
        <f>IF(G46&gt;"Y","WARNING","")</f>
        <v/>
      </c>
      <c r="I46" s="279"/>
      <c r="J46" s="279"/>
    </row>
    <row r="47" spans="1:10" x14ac:dyDescent="0.3">
      <c r="A47" s="279"/>
      <c r="B47" s="279"/>
      <c r="C47" s="279"/>
      <c r="D47" s="279"/>
      <c r="E47" s="279"/>
      <c r="F47" s="279"/>
      <c r="G47" s="279"/>
      <c r="H47" s="279"/>
      <c r="I47" s="279"/>
      <c r="J47" s="279"/>
    </row>
    <row r="48" spans="1:10" x14ac:dyDescent="0.3">
      <c r="A48" s="278" t="s">
        <v>238</v>
      </c>
      <c r="B48" s="279"/>
      <c r="C48" s="279"/>
      <c r="D48" s="279"/>
      <c r="E48" s="261"/>
      <c r="F48" s="140"/>
      <c r="G48" s="140"/>
      <c r="H48" s="140"/>
      <c r="I48" s="140"/>
      <c r="J48" s="279"/>
    </row>
    <row r="49" spans="1:10" x14ac:dyDescent="0.3">
      <c r="A49" s="279"/>
      <c r="B49" s="279"/>
      <c r="C49" s="279"/>
      <c r="D49" s="279"/>
      <c r="E49" s="140"/>
      <c r="F49" s="140"/>
      <c r="G49" s="140"/>
      <c r="H49" s="140"/>
      <c r="I49" s="140"/>
      <c r="J49" s="279"/>
    </row>
    <row r="50" spans="1:10" x14ac:dyDescent="0.3">
      <c r="A50" s="279" t="s">
        <v>239</v>
      </c>
      <c r="B50" s="279"/>
      <c r="C50" s="188"/>
      <c r="D50" s="279" t="s">
        <v>240</v>
      </c>
      <c r="E50" s="261"/>
      <c r="F50" s="140"/>
      <c r="G50" s="140"/>
      <c r="H50" s="140"/>
      <c r="I50" s="140"/>
      <c r="J50" s="279"/>
    </row>
    <row r="51" spans="1:10" x14ac:dyDescent="0.3">
      <c r="A51" s="279" t="s">
        <v>241</v>
      </c>
      <c r="B51" s="279"/>
      <c r="C51" s="188"/>
      <c r="D51" s="279" t="s">
        <v>242</v>
      </c>
      <c r="E51" s="140"/>
      <c r="F51" s="140"/>
      <c r="G51" s="140"/>
      <c r="H51" s="140"/>
      <c r="I51" s="140"/>
      <c r="J51" s="279"/>
    </row>
    <row r="52" spans="1:10" x14ac:dyDescent="0.3">
      <c r="A52" s="279" t="s">
        <v>243</v>
      </c>
      <c r="B52" s="279"/>
      <c r="C52" s="188"/>
      <c r="D52" s="279" t="s">
        <v>244</v>
      </c>
      <c r="E52" s="261"/>
      <c r="F52" s="140"/>
      <c r="G52" s="140"/>
      <c r="H52" s="140"/>
      <c r="I52" s="140"/>
      <c r="J52" s="279"/>
    </row>
    <row r="53" spans="1:10" x14ac:dyDescent="0.3">
      <c r="A53" s="279"/>
      <c r="B53" s="279"/>
      <c r="C53" s="279"/>
      <c r="D53" s="279"/>
      <c r="E53" s="140"/>
      <c r="F53" s="140"/>
      <c r="G53" s="140"/>
      <c r="H53" s="140"/>
      <c r="I53" s="140"/>
      <c r="J53" s="279"/>
    </row>
    <row r="54" spans="1:10" x14ac:dyDescent="0.3">
      <c r="A54" s="278" t="s">
        <v>245</v>
      </c>
      <c r="B54" s="279"/>
      <c r="C54" s="279"/>
      <c r="D54" s="279"/>
      <c r="E54" s="261"/>
      <c r="F54" s="140"/>
      <c r="G54" s="140"/>
      <c r="H54" s="140"/>
      <c r="I54" s="140"/>
      <c r="J54" s="279"/>
    </row>
    <row r="55" spans="1:10" x14ac:dyDescent="0.3">
      <c r="A55" s="279" t="s">
        <v>246</v>
      </c>
      <c r="B55" s="279"/>
      <c r="C55" s="188"/>
      <c r="D55" s="279" t="s">
        <v>247</v>
      </c>
      <c r="E55" s="140"/>
      <c r="F55" s="140"/>
      <c r="G55" s="140"/>
      <c r="H55" s="140"/>
      <c r="I55" s="140"/>
      <c r="J55" s="279"/>
    </row>
    <row r="56" spans="1:10" x14ac:dyDescent="0.3">
      <c r="A56" s="279" t="s">
        <v>248</v>
      </c>
      <c r="B56" s="279"/>
      <c r="C56" s="188"/>
      <c r="D56" s="279" t="s">
        <v>249</v>
      </c>
      <c r="E56" s="261"/>
      <c r="F56" s="140"/>
      <c r="G56" s="140"/>
      <c r="H56" s="140"/>
      <c r="I56" s="140"/>
      <c r="J56" s="279"/>
    </row>
    <row r="57" spans="1:10" x14ac:dyDescent="0.3">
      <c r="A57" s="279" t="s">
        <v>250</v>
      </c>
      <c r="B57" s="279"/>
      <c r="C57" s="188"/>
      <c r="D57" s="279" t="s">
        <v>251</v>
      </c>
      <c r="E57" s="261"/>
      <c r="F57" s="140"/>
      <c r="G57" s="140"/>
      <c r="H57" s="140"/>
      <c r="I57" s="140"/>
      <c r="J57" s="279"/>
    </row>
    <row r="58" spans="1:10" x14ac:dyDescent="0.3">
      <c r="A58" s="279" t="s">
        <v>252</v>
      </c>
      <c r="B58" s="279"/>
      <c r="C58" s="188"/>
      <c r="D58" s="279" t="s">
        <v>253</v>
      </c>
      <c r="E58" s="140"/>
      <c r="F58" s="140"/>
      <c r="G58" s="140"/>
      <c r="H58" s="140"/>
      <c r="I58" s="140"/>
      <c r="J58" s="279"/>
    </row>
    <row r="59" spans="1:10" x14ac:dyDescent="0.3">
      <c r="A59" s="279"/>
      <c r="B59" s="279"/>
      <c r="C59" s="279"/>
      <c r="D59" s="279"/>
      <c r="E59" s="279"/>
      <c r="F59" s="279"/>
      <c r="G59" s="279"/>
      <c r="H59" s="279"/>
      <c r="I59" s="279"/>
      <c r="J59" s="279"/>
    </row>
    <row r="60" spans="1:10" x14ac:dyDescent="0.3">
      <c r="A60" s="262" t="s">
        <v>254</v>
      </c>
      <c r="B60" s="262"/>
      <c r="C60" s="263">
        <f>1000*((('5. User defined fertiliser'!C42/100)*'Default data'!C104:D104)+(('5. User defined fertiliser'!C44/100)*'Default data'!C110:D110)+(('5. User defined fertiliser'!C46/100)*'Default data'!C115:D115)+(('5. User defined fertiliser'!C50/100)*'Default data'!C117:D117)+(('5. User defined fertiliser'!C51/100)*'Default data'!C118:D118)+(('5. User defined fertiliser'!C52/100)*'Default data'!C119:D119)+(('5. User defined fertiliser'!C55/100)*'Default data'!C120:D120)+(('5. User defined fertiliser'!C56/100)*'Default data'!C121:D121)+(('5. User defined fertiliser'!C57/100)*'Default data'!C122:D122)+(('5. User defined fertiliser'!C58/100)*'Default data'!C123:D123))</f>
        <v>0</v>
      </c>
      <c r="D60" s="279"/>
      <c r="E60" s="279"/>
      <c r="F60" s="279"/>
      <c r="G60" s="279"/>
      <c r="H60" s="279"/>
      <c r="I60" s="279"/>
      <c r="J60" s="279"/>
    </row>
    <row r="61" spans="1:10" s="327" customFormat="1" ht="15" thickBot="1" x14ac:dyDescent="0.35"/>
    <row r="62" spans="1:10" x14ac:dyDescent="0.3">
      <c r="A62" s="279"/>
      <c r="B62" s="279"/>
      <c r="C62" s="279"/>
      <c r="D62" s="279"/>
      <c r="E62" s="279"/>
      <c r="F62" s="279"/>
      <c r="G62" s="279"/>
      <c r="H62" s="279"/>
      <c r="I62" s="279"/>
      <c r="J62" s="279"/>
    </row>
    <row r="63" spans="1:10" x14ac:dyDescent="0.3">
      <c r="A63" s="279" t="s">
        <v>220</v>
      </c>
      <c r="B63" s="279"/>
      <c r="C63" s="188" t="s">
        <v>328</v>
      </c>
      <c r="D63" s="140"/>
      <c r="E63" s="279"/>
      <c r="F63" s="279"/>
      <c r="G63" s="279"/>
      <c r="H63" s="279"/>
      <c r="I63" s="279"/>
      <c r="J63" s="279"/>
    </row>
    <row r="64" spans="1:10" x14ac:dyDescent="0.3">
      <c r="A64" s="279"/>
      <c r="B64" s="279"/>
      <c r="C64" s="279"/>
      <c r="D64" s="279"/>
      <c r="E64" s="279"/>
      <c r="F64" s="279"/>
      <c r="G64" s="279"/>
      <c r="H64" s="279"/>
      <c r="I64" s="279"/>
      <c r="J64" s="140"/>
    </row>
    <row r="65" spans="1:10" ht="32.1" customHeight="1" x14ac:dyDescent="0.3">
      <c r="A65" s="278" t="s">
        <v>221</v>
      </c>
      <c r="B65" s="279"/>
      <c r="C65" s="279"/>
      <c r="D65" s="279"/>
      <c r="E65" s="438" t="s">
        <v>376</v>
      </c>
      <c r="F65" s="438"/>
      <c r="G65" s="438"/>
      <c r="H65" s="438"/>
      <c r="I65" s="438"/>
      <c r="J65" s="438"/>
    </row>
    <row r="66" spans="1:10" x14ac:dyDescent="0.3">
      <c r="A66" s="279"/>
      <c r="B66" s="279"/>
      <c r="C66" s="279"/>
      <c r="D66" s="279"/>
      <c r="E66" s="279"/>
      <c r="F66" s="279"/>
      <c r="G66" s="279"/>
      <c r="H66" s="279"/>
      <c r="I66" s="279"/>
      <c r="J66" s="279"/>
    </row>
    <row r="67" spans="1:10" ht="28.8" x14ac:dyDescent="0.3">
      <c r="A67" s="279"/>
      <c r="B67" s="279"/>
      <c r="C67" s="279"/>
      <c r="D67" s="279"/>
      <c r="E67" s="258" t="s">
        <v>222</v>
      </c>
      <c r="F67" s="258" t="s">
        <v>223</v>
      </c>
      <c r="G67" s="258" t="s">
        <v>224</v>
      </c>
      <c r="H67" s="258" t="s">
        <v>225</v>
      </c>
      <c r="I67" s="258" t="s">
        <v>226</v>
      </c>
      <c r="J67" s="279"/>
    </row>
    <row r="68" spans="1:10" x14ac:dyDescent="0.3">
      <c r="A68" s="279" t="s">
        <v>227</v>
      </c>
      <c r="B68" s="279"/>
      <c r="C68" s="188"/>
      <c r="D68" s="279" t="s">
        <v>228</v>
      </c>
      <c r="E68" s="188"/>
      <c r="F68" s="188"/>
      <c r="G68" s="188"/>
      <c r="H68" s="188"/>
      <c r="I68" s="188"/>
      <c r="J68" s="259" t="str">
        <f>CONCATENATE(E68,F68,G68,H68,I68)</f>
        <v/>
      </c>
    </row>
    <row r="69" spans="1:10" ht="28.8" x14ac:dyDescent="0.3">
      <c r="A69" s="279"/>
      <c r="B69" s="279"/>
      <c r="C69" s="140"/>
      <c r="D69" s="279"/>
      <c r="E69" s="258" t="s">
        <v>229</v>
      </c>
      <c r="F69" s="258" t="s">
        <v>230</v>
      </c>
      <c r="G69" s="258" t="s">
        <v>231</v>
      </c>
      <c r="H69" s="13"/>
      <c r="I69" s="279"/>
      <c r="J69" s="279"/>
    </row>
    <row r="70" spans="1:10" x14ac:dyDescent="0.3">
      <c r="A70" s="279" t="s">
        <v>232</v>
      </c>
      <c r="B70" s="279"/>
      <c r="C70" s="188"/>
      <c r="D70" s="279" t="s">
        <v>233</v>
      </c>
      <c r="E70" s="188"/>
      <c r="F70" s="188"/>
      <c r="G70" s="188"/>
      <c r="H70" s="259" t="str">
        <f>CONCATENATE(E70,F70,G70)</f>
        <v/>
      </c>
      <c r="I70" s="260" t="str">
        <f>IF(H70&gt;"Y","WARNING","")</f>
        <v/>
      </c>
      <c r="J70" s="279"/>
    </row>
    <row r="71" spans="1:10" ht="43.2" x14ac:dyDescent="0.3">
      <c r="A71" s="279"/>
      <c r="B71" s="279"/>
      <c r="C71" s="140"/>
      <c r="D71" s="279"/>
      <c r="E71" s="258" t="s">
        <v>234</v>
      </c>
      <c r="F71" s="258" t="s">
        <v>235</v>
      </c>
      <c r="G71" s="279"/>
      <c r="H71" s="279"/>
      <c r="I71" s="279"/>
      <c r="J71" s="279"/>
    </row>
    <row r="72" spans="1:10" x14ac:dyDescent="0.3">
      <c r="A72" s="279" t="s">
        <v>236</v>
      </c>
      <c r="B72" s="279"/>
      <c r="C72" s="188"/>
      <c r="D72" s="279" t="s">
        <v>237</v>
      </c>
      <c r="E72" s="188"/>
      <c r="F72" s="188"/>
      <c r="G72" s="259" t="str">
        <f>CONCATENATE(E72,F72)</f>
        <v/>
      </c>
      <c r="H72" s="279" t="str">
        <f>IF(G72&gt;"Y","WARNING","")</f>
        <v/>
      </c>
      <c r="I72" s="279"/>
      <c r="J72" s="279"/>
    </row>
    <row r="73" spans="1:10" x14ac:dyDescent="0.3">
      <c r="A73" s="279"/>
      <c r="B73" s="279"/>
      <c r="C73" s="279"/>
      <c r="D73" s="279"/>
      <c r="E73" s="279"/>
      <c r="F73" s="279"/>
      <c r="G73" s="279"/>
      <c r="H73" s="279"/>
      <c r="I73" s="279"/>
      <c r="J73" s="279"/>
    </row>
    <row r="74" spans="1:10" x14ac:dyDescent="0.3">
      <c r="A74" s="278" t="s">
        <v>238</v>
      </c>
      <c r="B74" s="279"/>
      <c r="C74" s="279"/>
      <c r="D74" s="279"/>
      <c r="E74" s="261"/>
      <c r="F74" s="140"/>
      <c r="G74" s="140"/>
      <c r="H74" s="140"/>
      <c r="I74" s="140"/>
      <c r="J74" s="279"/>
    </row>
    <row r="75" spans="1:10" x14ac:dyDescent="0.3">
      <c r="A75" s="279"/>
      <c r="B75" s="279"/>
      <c r="C75" s="279"/>
      <c r="D75" s="279"/>
      <c r="E75" s="140"/>
      <c r="F75" s="140"/>
      <c r="G75" s="140"/>
      <c r="H75" s="140"/>
      <c r="I75" s="140"/>
      <c r="J75" s="279"/>
    </row>
    <row r="76" spans="1:10" x14ac:dyDescent="0.3">
      <c r="A76" s="279" t="s">
        <v>239</v>
      </c>
      <c r="B76" s="279"/>
      <c r="C76" s="188"/>
      <c r="D76" s="279" t="s">
        <v>240</v>
      </c>
      <c r="E76" s="261"/>
      <c r="F76" s="140"/>
      <c r="G76" s="140"/>
      <c r="H76" s="140"/>
      <c r="I76" s="140"/>
      <c r="J76" s="279"/>
    </row>
    <row r="77" spans="1:10" x14ac:dyDescent="0.3">
      <c r="A77" s="279" t="s">
        <v>241</v>
      </c>
      <c r="B77" s="279"/>
      <c r="C77" s="188"/>
      <c r="D77" s="279" t="s">
        <v>242</v>
      </c>
      <c r="E77" s="140"/>
      <c r="F77" s="140"/>
      <c r="G77" s="140"/>
      <c r="H77" s="140"/>
      <c r="I77" s="140"/>
      <c r="J77" s="279"/>
    </row>
    <row r="78" spans="1:10" x14ac:dyDescent="0.3">
      <c r="A78" s="279" t="s">
        <v>243</v>
      </c>
      <c r="B78" s="279"/>
      <c r="C78" s="188"/>
      <c r="D78" s="279" t="s">
        <v>244</v>
      </c>
      <c r="E78" s="261"/>
      <c r="F78" s="140"/>
      <c r="G78" s="140"/>
      <c r="H78" s="140"/>
      <c r="I78" s="140"/>
      <c r="J78" s="279"/>
    </row>
    <row r="79" spans="1:10" x14ac:dyDescent="0.3">
      <c r="A79" s="279"/>
      <c r="B79" s="279"/>
      <c r="C79" s="279"/>
      <c r="D79" s="279"/>
      <c r="E79" s="140"/>
      <c r="F79" s="140"/>
      <c r="G79" s="140"/>
      <c r="H79" s="140"/>
      <c r="I79" s="140"/>
      <c r="J79" s="279"/>
    </row>
    <row r="80" spans="1:10" x14ac:dyDescent="0.3">
      <c r="A80" s="278" t="s">
        <v>245</v>
      </c>
      <c r="B80" s="279"/>
      <c r="C80" s="279"/>
      <c r="D80" s="279"/>
      <c r="E80" s="261"/>
      <c r="F80" s="140"/>
      <c r="G80" s="140"/>
      <c r="H80" s="140"/>
      <c r="I80" s="140"/>
      <c r="J80" s="279"/>
    </row>
    <row r="81" spans="1:10" x14ac:dyDescent="0.3">
      <c r="A81" s="279" t="s">
        <v>246</v>
      </c>
      <c r="B81" s="279"/>
      <c r="C81" s="188"/>
      <c r="D81" s="279" t="s">
        <v>247</v>
      </c>
      <c r="E81" s="140"/>
      <c r="F81" s="140"/>
      <c r="G81" s="140"/>
      <c r="H81" s="140"/>
      <c r="I81" s="140"/>
      <c r="J81" s="279"/>
    </row>
    <row r="82" spans="1:10" x14ac:dyDescent="0.3">
      <c r="A82" s="279" t="s">
        <v>248</v>
      </c>
      <c r="B82" s="279"/>
      <c r="C82" s="188"/>
      <c r="D82" s="279" t="s">
        <v>249</v>
      </c>
      <c r="E82" s="261"/>
      <c r="F82" s="140"/>
      <c r="G82" s="140"/>
      <c r="H82" s="140"/>
      <c r="I82" s="140"/>
      <c r="J82" s="279"/>
    </row>
    <row r="83" spans="1:10" x14ac:dyDescent="0.3">
      <c r="A83" s="279" t="s">
        <v>250</v>
      </c>
      <c r="B83" s="279"/>
      <c r="C83" s="188"/>
      <c r="D83" s="279" t="s">
        <v>251</v>
      </c>
      <c r="E83" s="261"/>
      <c r="F83" s="140"/>
      <c r="G83" s="140"/>
      <c r="H83" s="140"/>
      <c r="I83" s="140"/>
      <c r="J83" s="279"/>
    </row>
    <row r="84" spans="1:10" x14ac:dyDescent="0.3">
      <c r="A84" s="279" t="s">
        <v>252</v>
      </c>
      <c r="B84" s="279"/>
      <c r="C84" s="188"/>
      <c r="D84" s="279" t="s">
        <v>253</v>
      </c>
      <c r="E84" s="140"/>
      <c r="F84" s="140"/>
      <c r="G84" s="140"/>
      <c r="H84" s="140"/>
      <c r="I84" s="140"/>
      <c r="J84" s="279"/>
    </row>
    <row r="85" spans="1:10" x14ac:dyDescent="0.3">
      <c r="A85" s="279"/>
      <c r="B85" s="279"/>
      <c r="C85" s="279"/>
      <c r="D85" s="279"/>
      <c r="E85" s="279"/>
      <c r="F85" s="279"/>
      <c r="G85" s="279"/>
      <c r="H85" s="279"/>
      <c r="I85" s="279"/>
      <c r="J85" s="279"/>
    </row>
    <row r="86" spans="1:10" x14ac:dyDescent="0.3">
      <c r="A86" s="262" t="s">
        <v>254</v>
      </c>
      <c r="B86" s="262"/>
      <c r="C86" s="263">
        <f>1000*((('5. User defined fertiliser'!C68/100)*'Default data'!C133:D133)+(('5. User defined fertiliser'!C70/100)*'Default data'!C139:D139)+(('5. User defined fertiliser'!C72/100)*'Default data'!C144:D144)+(('5. User defined fertiliser'!C76/100)*'Default data'!C146:D146)+(('5. User defined fertiliser'!C77/100)*'Default data'!C147:D147)+(('5. User defined fertiliser'!C78/100)*'Default data'!C148:D148)+(('5. User defined fertiliser'!C81/100)*'Default data'!C149:D149)+(('5. User defined fertiliser'!C82/100)*'Default data'!C150:D150)+(('5. User defined fertiliser'!C83/100)*'Default data'!C151:D151)+(('5. User defined fertiliser'!C84/100)*'Default data'!C152:D152))</f>
        <v>0</v>
      </c>
      <c r="D86" s="279"/>
      <c r="E86" s="279"/>
      <c r="F86" s="279"/>
      <c r="G86" s="279"/>
      <c r="H86" s="279"/>
      <c r="I86" s="279"/>
      <c r="J86" s="279"/>
    </row>
    <row r="87" spans="1:10" s="327" customFormat="1" ht="15" thickBot="1" x14ac:dyDescent="0.35"/>
    <row r="88" spans="1:10" x14ac:dyDescent="0.3">
      <c r="A88" s="279"/>
      <c r="B88" s="279"/>
      <c r="C88" s="279"/>
      <c r="D88" s="279"/>
      <c r="E88" s="279"/>
      <c r="F88" s="279"/>
      <c r="G88" s="279"/>
      <c r="H88" s="279"/>
      <c r="I88" s="279"/>
      <c r="J88" s="279"/>
    </row>
    <row r="89" spans="1:10" x14ac:dyDescent="0.3">
      <c r="A89" s="279" t="s">
        <v>220</v>
      </c>
      <c r="B89" s="279"/>
      <c r="C89" s="188" t="s">
        <v>329</v>
      </c>
      <c r="D89" s="140"/>
      <c r="E89" s="279"/>
      <c r="F89" s="279"/>
      <c r="G89" s="279"/>
      <c r="H89" s="279"/>
      <c r="I89" s="279"/>
      <c r="J89" s="279"/>
    </row>
    <row r="90" spans="1:10" x14ac:dyDescent="0.3">
      <c r="A90" s="279"/>
      <c r="B90" s="279"/>
      <c r="C90" s="279"/>
      <c r="D90" s="279"/>
      <c r="E90" s="279"/>
      <c r="F90" s="279"/>
      <c r="G90" s="279"/>
      <c r="H90" s="279"/>
      <c r="I90" s="279"/>
      <c r="J90" s="140"/>
    </row>
    <row r="91" spans="1:10" ht="32.1" customHeight="1" x14ac:dyDescent="0.3">
      <c r="A91" s="278" t="s">
        <v>221</v>
      </c>
      <c r="B91" s="279"/>
      <c r="C91" s="279"/>
      <c r="D91" s="279"/>
      <c r="E91" s="438" t="s">
        <v>376</v>
      </c>
      <c r="F91" s="438"/>
      <c r="G91" s="438"/>
      <c r="H91" s="438"/>
      <c r="I91" s="438"/>
      <c r="J91" s="438"/>
    </row>
    <row r="92" spans="1:10" x14ac:dyDescent="0.3">
      <c r="A92" s="279"/>
      <c r="B92" s="279"/>
      <c r="C92" s="279"/>
      <c r="D92" s="279"/>
      <c r="E92" s="279"/>
      <c r="F92" s="279"/>
      <c r="G92" s="279"/>
      <c r="H92" s="279"/>
      <c r="I92" s="279"/>
      <c r="J92" s="279"/>
    </row>
    <row r="93" spans="1:10" ht="28.8" x14ac:dyDescent="0.3">
      <c r="A93" s="279"/>
      <c r="B93" s="279"/>
      <c r="C93" s="279"/>
      <c r="D93" s="279"/>
      <c r="E93" s="258" t="s">
        <v>222</v>
      </c>
      <c r="F93" s="258" t="s">
        <v>223</v>
      </c>
      <c r="G93" s="258" t="s">
        <v>224</v>
      </c>
      <c r="H93" s="258" t="s">
        <v>225</v>
      </c>
      <c r="I93" s="258" t="s">
        <v>226</v>
      </c>
      <c r="J93" s="279"/>
    </row>
    <row r="94" spans="1:10" x14ac:dyDescent="0.3">
      <c r="A94" s="279" t="s">
        <v>227</v>
      </c>
      <c r="B94" s="279"/>
      <c r="C94" s="188"/>
      <c r="D94" s="279" t="s">
        <v>228</v>
      </c>
      <c r="E94" s="188"/>
      <c r="F94" s="188"/>
      <c r="G94" s="188"/>
      <c r="H94" s="188"/>
      <c r="I94" s="188"/>
      <c r="J94" s="259" t="str">
        <f>CONCATENATE(E94,F94,G94,H94,I94)</f>
        <v/>
      </c>
    </row>
    <row r="95" spans="1:10" ht="28.8" x14ac:dyDescent="0.3">
      <c r="A95" s="279"/>
      <c r="B95" s="279"/>
      <c r="C95" s="140"/>
      <c r="D95" s="279"/>
      <c r="E95" s="258" t="s">
        <v>229</v>
      </c>
      <c r="F95" s="258" t="s">
        <v>230</v>
      </c>
      <c r="G95" s="258" t="s">
        <v>231</v>
      </c>
      <c r="H95" s="13"/>
      <c r="I95" s="279"/>
      <c r="J95" s="279"/>
    </row>
    <row r="96" spans="1:10" x14ac:dyDescent="0.3">
      <c r="A96" s="279" t="s">
        <v>232</v>
      </c>
      <c r="B96" s="279"/>
      <c r="C96" s="188"/>
      <c r="D96" s="279" t="s">
        <v>233</v>
      </c>
      <c r="E96" s="188"/>
      <c r="F96" s="188"/>
      <c r="G96" s="188"/>
      <c r="H96" s="259" t="str">
        <f>CONCATENATE(E96,F96,G96)</f>
        <v/>
      </c>
      <c r="I96" s="260" t="str">
        <f>IF(H96&gt;"Y","WARNING","")</f>
        <v/>
      </c>
      <c r="J96" s="279"/>
    </row>
    <row r="97" spans="1:10" ht="43.2" x14ac:dyDescent="0.3">
      <c r="A97" s="279"/>
      <c r="B97" s="279"/>
      <c r="C97" s="140"/>
      <c r="D97" s="279"/>
      <c r="E97" s="258" t="s">
        <v>234</v>
      </c>
      <c r="F97" s="258" t="s">
        <v>235</v>
      </c>
      <c r="G97" s="279"/>
      <c r="H97" s="279"/>
      <c r="I97" s="279"/>
      <c r="J97" s="279"/>
    </row>
    <row r="98" spans="1:10" x14ac:dyDescent="0.3">
      <c r="A98" s="279" t="s">
        <v>236</v>
      </c>
      <c r="B98" s="279"/>
      <c r="C98" s="188"/>
      <c r="D98" s="279" t="s">
        <v>237</v>
      </c>
      <c r="E98" s="188"/>
      <c r="F98" s="188"/>
      <c r="G98" s="259" t="str">
        <f>CONCATENATE(E98,F98)</f>
        <v/>
      </c>
      <c r="H98" s="279" t="str">
        <f>IF(G98&gt;"Y","WARNING","")</f>
        <v/>
      </c>
      <c r="I98" s="279"/>
      <c r="J98" s="279"/>
    </row>
    <row r="99" spans="1:10" x14ac:dyDescent="0.3">
      <c r="A99" s="279"/>
      <c r="B99" s="279"/>
      <c r="C99" s="279"/>
      <c r="D99" s="279"/>
      <c r="E99" s="279"/>
      <c r="F99" s="279"/>
      <c r="G99" s="279"/>
      <c r="H99" s="279"/>
      <c r="I99" s="279"/>
      <c r="J99" s="279"/>
    </row>
    <row r="100" spans="1:10" x14ac:dyDescent="0.3">
      <c r="A100" s="278" t="s">
        <v>238</v>
      </c>
      <c r="B100" s="279"/>
      <c r="C100" s="279"/>
      <c r="D100" s="279"/>
      <c r="E100" s="261"/>
      <c r="F100" s="140"/>
      <c r="G100" s="140"/>
      <c r="H100" s="140"/>
      <c r="I100" s="140"/>
      <c r="J100" s="279"/>
    </row>
    <row r="101" spans="1:10" x14ac:dyDescent="0.3">
      <c r="A101" s="279"/>
      <c r="B101" s="279"/>
      <c r="C101" s="279"/>
      <c r="D101" s="279"/>
      <c r="E101" s="140"/>
      <c r="F101" s="140"/>
      <c r="G101" s="140"/>
      <c r="H101" s="140"/>
      <c r="I101" s="140"/>
      <c r="J101" s="279"/>
    </row>
    <row r="102" spans="1:10" x14ac:dyDescent="0.3">
      <c r="A102" s="279" t="s">
        <v>239</v>
      </c>
      <c r="B102" s="279"/>
      <c r="C102" s="188"/>
      <c r="D102" s="279" t="s">
        <v>240</v>
      </c>
      <c r="E102" s="261"/>
      <c r="F102" s="140"/>
      <c r="G102" s="140"/>
      <c r="H102" s="140"/>
      <c r="I102" s="140"/>
      <c r="J102" s="279"/>
    </row>
    <row r="103" spans="1:10" x14ac:dyDescent="0.3">
      <c r="A103" s="279" t="s">
        <v>241</v>
      </c>
      <c r="B103" s="279"/>
      <c r="C103" s="188"/>
      <c r="D103" s="279" t="s">
        <v>242</v>
      </c>
      <c r="E103" s="140"/>
      <c r="F103" s="140"/>
      <c r="G103" s="140"/>
      <c r="H103" s="140"/>
      <c r="I103" s="140"/>
      <c r="J103" s="279"/>
    </row>
    <row r="104" spans="1:10" x14ac:dyDescent="0.3">
      <c r="A104" s="279" t="s">
        <v>243</v>
      </c>
      <c r="B104" s="279"/>
      <c r="C104" s="188"/>
      <c r="D104" s="279" t="s">
        <v>244</v>
      </c>
      <c r="E104" s="261"/>
      <c r="F104" s="140"/>
      <c r="G104" s="140"/>
      <c r="H104" s="140"/>
      <c r="I104" s="140"/>
      <c r="J104" s="279"/>
    </row>
    <row r="105" spans="1:10" x14ac:dyDescent="0.3">
      <c r="A105" s="279"/>
      <c r="B105" s="279"/>
      <c r="C105" s="279"/>
      <c r="D105" s="279"/>
      <c r="E105" s="140"/>
      <c r="F105" s="140"/>
      <c r="G105" s="140"/>
      <c r="H105" s="140"/>
      <c r="I105" s="140"/>
      <c r="J105" s="279"/>
    </row>
    <row r="106" spans="1:10" x14ac:dyDescent="0.3">
      <c r="A106" s="278" t="s">
        <v>245</v>
      </c>
      <c r="B106" s="279"/>
      <c r="C106" s="279"/>
      <c r="D106" s="279"/>
      <c r="E106" s="261"/>
      <c r="F106" s="140"/>
      <c r="G106" s="140"/>
      <c r="H106" s="140"/>
      <c r="I106" s="140"/>
      <c r="J106" s="279"/>
    </row>
    <row r="107" spans="1:10" x14ac:dyDescent="0.3">
      <c r="A107" s="279" t="s">
        <v>246</v>
      </c>
      <c r="B107" s="279"/>
      <c r="C107" s="188"/>
      <c r="D107" s="279" t="s">
        <v>247</v>
      </c>
      <c r="E107" s="140"/>
      <c r="F107" s="140"/>
      <c r="G107" s="140"/>
      <c r="H107" s="140"/>
      <c r="I107" s="140"/>
      <c r="J107" s="279"/>
    </row>
    <row r="108" spans="1:10" x14ac:dyDescent="0.3">
      <c r="A108" s="279" t="s">
        <v>248</v>
      </c>
      <c r="B108" s="279"/>
      <c r="C108" s="188"/>
      <c r="D108" s="279" t="s">
        <v>249</v>
      </c>
      <c r="E108" s="261"/>
      <c r="F108" s="140"/>
      <c r="G108" s="140"/>
      <c r="H108" s="140"/>
      <c r="I108" s="140"/>
      <c r="J108" s="279"/>
    </row>
    <row r="109" spans="1:10" x14ac:dyDescent="0.3">
      <c r="A109" s="279" t="s">
        <v>250</v>
      </c>
      <c r="B109" s="279"/>
      <c r="C109" s="188"/>
      <c r="D109" s="279" t="s">
        <v>251</v>
      </c>
      <c r="E109" s="261"/>
      <c r="F109" s="140"/>
      <c r="G109" s="140"/>
      <c r="H109" s="140"/>
      <c r="I109" s="140"/>
      <c r="J109" s="279"/>
    </row>
    <row r="110" spans="1:10" x14ac:dyDescent="0.3">
      <c r="A110" s="279" t="s">
        <v>252</v>
      </c>
      <c r="B110" s="279"/>
      <c r="C110" s="188"/>
      <c r="D110" s="279" t="s">
        <v>253</v>
      </c>
      <c r="E110" s="140"/>
      <c r="F110" s="140"/>
      <c r="G110" s="140"/>
      <c r="H110" s="140"/>
      <c r="I110" s="140"/>
      <c r="J110" s="279"/>
    </row>
    <row r="111" spans="1:10" x14ac:dyDescent="0.3">
      <c r="A111" s="279"/>
      <c r="B111" s="279"/>
      <c r="C111" s="279"/>
      <c r="D111" s="279"/>
      <c r="E111" s="279"/>
      <c r="F111" s="279"/>
      <c r="G111" s="279"/>
      <c r="H111" s="279"/>
      <c r="I111" s="279"/>
      <c r="J111" s="279"/>
    </row>
    <row r="112" spans="1:10" x14ac:dyDescent="0.3">
      <c r="A112" s="262" t="s">
        <v>254</v>
      </c>
      <c r="B112" s="262"/>
      <c r="C112" s="263">
        <f>1000*((('5. User defined fertiliser'!C94/100)*'Default data'!C162:D162)+(('5. User defined fertiliser'!C96/100)*'Default data'!C168:D168)+(('5. User defined fertiliser'!C98/100)*'Default data'!C173:D173)+(('5. User defined fertiliser'!C102/100)*'Default data'!C175:D175)+(('5. User defined fertiliser'!C103/100)*'Default data'!C176:D176)+(('5. User defined fertiliser'!C104/100)*'Default data'!C177:D177)+(('5. User defined fertiliser'!C107/100)*'Default data'!C178:D178)+(('5. User defined fertiliser'!C108/100)*'Default data'!C179:D179)+(('5. User defined fertiliser'!C109/100)*'Default data'!C180:D180)+(('5. User defined fertiliser'!C110/100)*'Default data'!C181:D181))</f>
        <v>0</v>
      </c>
      <c r="D112" s="279"/>
      <c r="E112" s="279"/>
      <c r="F112" s="279"/>
      <c r="G112" s="279"/>
      <c r="H112" s="279"/>
      <c r="I112" s="279"/>
      <c r="J112" s="279"/>
    </row>
    <row r="113" spans="1:10" s="327" customFormat="1" ht="15" thickBot="1" x14ac:dyDescent="0.35"/>
    <row r="114" spans="1:10" x14ac:dyDescent="0.3">
      <c r="A114" s="279"/>
      <c r="B114" s="279"/>
      <c r="C114" s="279"/>
      <c r="D114" s="279"/>
      <c r="E114" s="279"/>
      <c r="F114" s="279"/>
      <c r="G114" s="279"/>
      <c r="H114" s="279"/>
      <c r="I114" s="279"/>
      <c r="J114" s="279"/>
    </row>
    <row r="115" spans="1:10" x14ac:dyDescent="0.3">
      <c r="A115" s="279" t="s">
        <v>220</v>
      </c>
      <c r="B115" s="279"/>
      <c r="C115" s="188" t="s">
        <v>330</v>
      </c>
      <c r="D115" s="140"/>
      <c r="E115" s="279"/>
      <c r="F115" s="279"/>
      <c r="G115" s="279"/>
      <c r="H115" s="279"/>
      <c r="I115" s="279"/>
      <c r="J115" s="279"/>
    </row>
    <row r="116" spans="1:10" x14ac:dyDescent="0.3">
      <c r="A116" s="279"/>
      <c r="B116" s="279"/>
      <c r="C116" s="279"/>
      <c r="D116" s="279"/>
      <c r="E116" s="279"/>
      <c r="F116" s="279"/>
      <c r="G116" s="279"/>
      <c r="H116" s="279"/>
      <c r="I116" s="279"/>
      <c r="J116" s="140"/>
    </row>
    <row r="117" spans="1:10" ht="32.1" customHeight="1" x14ac:dyDescent="0.3">
      <c r="A117" s="278" t="s">
        <v>221</v>
      </c>
      <c r="B117" s="279"/>
      <c r="C117" s="279"/>
      <c r="D117" s="279"/>
      <c r="E117" s="438" t="s">
        <v>376</v>
      </c>
      <c r="F117" s="438"/>
      <c r="G117" s="438"/>
      <c r="H117" s="438"/>
      <c r="I117" s="438"/>
      <c r="J117" s="438"/>
    </row>
    <row r="118" spans="1:10" x14ac:dyDescent="0.3">
      <c r="A118" s="279"/>
      <c r="B118" s="279"/>
      <c r="C118" s="279"/>
      <c r="D118" s="279"/>
      <c r="E118" s="279"/>
      <c r="F118" s="279"/>
      <c r="G118" s="279"/>
      <c r="H118" s="279"/>
      <c r="I118" s="279"/>
      <c r="J118" s="279"/>
    </row>
    <row r="119" spans="1:10" ht="28.8" x14ac:dyDescent="0.3">
      <c r="A119" s="279"/>
      <c r="B119" s="279"/>
      <c r="C119" s="279"/>
      <c r="D119" s="279"/>
      <c r="E119" s="258" t="s">
        <v>222</v>
      </c>
      <c r="F119" s="258" t="s">
        <v>223</v>
      </c>
      <c r="G119" s="258" t="s">
        <v>224</v>
      </c>
      <c r="H119" s="258" t="s">
        <v>225</v>
      </c>
      <c r="I119" s="258" t="s">
        <v>226</v>
      </c>
      <c r="J119" s="279"/>
    </row>
    <row r="120" spans="1:10" x14ac:dyDescent="0.3">
      <c r="A120" s="279" t="s">
        <v>227</v>
      </c>
      <c r="B120" s="279"/>
      <c r="C120" s="188"/>
      <c r="D120" s="279" t="s">
        <v>228</v>
      </c>
      <c r="E120" s="188"/>
      <c r="F120" s="188"/>
      <c r="G120" s="188"/>
      <c r="H120" s="188"/>
      <c r="I120" s="188"/>
      <c r="J120" s="259" t="str">
        <f>CONCATENATE(E120,F120,G120,H120,I120)</f>
        <v/>
      </c>
    </row>
    <row r="121" spans="1:10" ht="28.8" x14ac:dyDescent="0.3">
      <c r="A121" s="279"/>
      <c r="B121" s="279"/>
      <c r="C121" s="140"/>
      <c r="D121" s="279"/>
      <c r="E121" s="258" t="s">
        <v>229</v>
      </c>
      <c r="F121" s="258" t="s">
        <v>230</v>
      </c>
      <c r="G121" s="258" t="s">
        <v>231</v>
      </c>
      <c r="H121" s="13"/>
      <c r="I121" s="279"/>
      <c r="J121" s="279"/>
    </row>
    <row r="122" spans="1:10" x14ac:dyDescent="0.3">
      <c r="A122" s="279" t="s">
        <v>232</v>
      </c>
      <c r="B122" s="279"/>
      <c r="C122" s="188"/>
      <c r="D122" s="279" t="s">
        <v>233</v>
      </c>
      <c r="E122" s="188"/>
      <c r="F122" s="188"/>
      <c r="G122" s="188"/>
      <c r="H122" s="259" t="str">
        <f>CONCATENATE(E122,F122,G122)</f>
        <v/>
      </c>
      <c r="I122" s="260" t="str">
        <f>IF(H122&gt;"Y","WARNING","")</f>
        <v/>
      </c>
      <c r="J122" s="279"/>
    </row>
    <row r="123" spans="1:10" ht="43.2" x14ac:dyDescent="0.3">
      <c r="A123" s="279"/>
      <c r="B123" s="279"/>
      <c r="C123" s="140"/>
      <c r="D123" s="279"/>
      <c r="E123" s="258" t="s">
        <v>234</v>
      </c>
      <c r="F123" s="258" t="s">
        <v>235</v>
      </c>
      <c r="G123" s="279"/>
      <c r="H123" s="279"/>
      <c r="I123" s="279"/>
      <c r="J123" s="279"/>
    </row>
    <row r="124" spans="1:10" x14ac:dyDescent="0.3">
      <c r="A124" s="279" t="s">
        <v>236</v>
      </c>
      <c r="B124" s="279"/>
      <c r="C124" s="188"/>
      <c r="D124" s="279" t="s">
        <v>237</v>
      </c>
      <c r="E124" s="188"/>
      <c r="F124" s="188"/>
      <c r="G124" s="259" t="str">
        <f>CONCATENATE(E124,F124)</f>
        <v/>
      </c>
      <c r="H124" s="279" t="str">
        <f>IF(G124&gt;"Y","WARNING","")</f>
        <v/>
      </c>
      <c r="I124" s="279"/>
      <c r="J124" s="279"/>
    </row>
    <row r="125" spans="1:10" x14ac:dyDescent="0.3">
      <c r="A125" s="279"/>
      <c r="B125" s="279"/>
      <c r="C125" s="279"/>
      <c r="D125" s="279"/>
      <c r="E125" s="279"/>
      <c r="F125" s="279"/>
      <c r="G125" s="279"/>
      <c r="H125" s="279"/>
      <c r="I125" s="279"/>
      <c r="J125" s="279"/>
    </row>
    <row r="126" spans="1:10" x14ac:dyDescent="0.3">
      <c r="A126" s="278" t="s">
        <v>238</v>
      </c>
      <c r="B126" s="279"/>
      <c r="C126" s="279"/>
      <c r="D126" s="279"/>
      <c r="E126" s="261"/>
      <c r="F126" s="140"/>
      <c r="G126" s="140"/>
      <c r="H126" s="140"/>
      <c r="I126" s="140"/>
      <c r="J126" s="279"/>
    </row>
    <row r="127" spans="1:10" x14ac:dyDescent="0.3">
      <c r="A127" s="279"/>
      <c r="B127" s="279"/>
      <c r="C127" s="279"/>
      <c r="D127" s="279"/>
      <c r="E127" s="140"/>
      <c r="F127" s="140"/>
      <c r="G127" s="140"/>
      <c r="H127" s="140"/>
      <c r="I127" s="140"/>
      <c r="J127" s="279"/>
    </row>
    <row r="128" spans="1:10" x14ac:dyDescent="0.3">
      <c r="A128" s="279" t="s">
        <v>239</v>
      </c>
      <c r="B128" s="279"/>
      <c r="C128" s="188"/>
      <c r="D128" s="279" t="s">
        <v>240</v>
      </c>
      <c r="E128" s="261"/>
      <c r="F128" s="140"/>
      <c r="G128" s="140"/>
      <c r="H128" s="140"/>
      <c r="I128" s="140"/>
      <c r="J128" s="279"/>
    </row>
    <row r="129" spans="1:10" x14ac:dyDescent="0.3">
      <c r="A129" s="279" t="s">
        <v>241</v>
      </c>
      <c r="B129" s="279"/>
      <c r="C129" s="188"/>
      <c r="D129" s="279" t="s">
        <v>242</v>
      </c>
      <c r="E129" s="140"/>
      <c r="F129" s="140"/>
      <c r="G129" s="140"/>
      <c r="H129" s="140"/>
      <c r="I129" s="140"/>
      <c r="J129" s="279"/>
    </row>
    <row r="130" spans="1:10" x14ac:dyDescent="0.3">
      <c r="A130" s="279" t="s">
        <v>243</v>
      </c>
      <c r="B130" s="279"/>
      <c r="C130" s="188"/>
      <c r="D130" s="279" t="s">
        <v>244</v>
      </c>
      <c r="E130" s="261"/>
      <c r="F130" s="140"/>
      <c r="G130" s="140"/>
      <c r="H130" s="140"/>
      <c r="I130" s="140"/>
      <c r="J130" s="279"/>
    </row>
    <row r="131" spans="1:10" x14ac:dyDescent="0.3">
      <c r="A131" s="279"/>
      <c r="B131" s="279"/>
      <c r="C131" s="279"/>
      <c r="D131" s="279"/>
      <c r="E131" s="140"/>
      <c r="F131" s="140"/>
      <c r="G131" s="140"/>
      <c r="H131" s="140"/>
      <c r="I131" s="140"/>
      <c r="J131" s="279"/>
    </row>
    <row r="132" spans="1:10" x14ac:dyDescent="0.3">
      <c r="A132" s="278" t="s">
        <v>245</v>
      </c>
      <c r="B132" s="279"/>
      <c r="C132" s="279"/>
      <c r="D132" s="279"/>
      <c r="E132" s="261"/>
      <c r="F132" s="140"/>
      <c r="G132" s="140"/>
      <c r="H132" s="140"/>
      <c r="I132" s="140"/>
      <c r="J132" s="279"/>
    </row>
    <row r="133" spans="1:10" x14ac:dyDescent="0.3">
      <c r="A133" s="279" t="s">
        <v>246</v>
      </c>
      <c r="B133" s="279"/>
      <c r="C133" s="188"/>
      <c r="D133" s="279" t="s">
        <v>247</v>
      </c>
      <c r="E133" s="140"/>
      <c r="F133" s="140"/>
      <c r="G133" s="140"/>
      <c r="H133" s="140"/>
      <c r="I133" s="140"/>
      <c r="J133" s="279"/>
    </row>
    <row r="134" spans="1:10" x14ac:dyDescent="0.3">
      <c r="A134" s="279" t="s">
        <v>248</v>
      </c>
      <c r="B134" s="279"/>
      <c r="C134" s="188"/>
      <c r="D134" s="279" t="s">
        <v>249</v>
      </c>
      <c r="E134" s="261"/>
      <c r="F134" s="140"/>
      <c r="G134" s="140"/>
      <c r="H134" s="140"/>
      <c r="I134" s="140"/>
      <c r="J134" s="279"/>
    </row>
    <row r="135" spans="1:10" x14ac:dyDescent="0.3">
      <c r="A135" s="279" t="s">
        <v>250</v>
      </c>
      <c r="B135" s="279"/>
      <c r="C135" s="188"/>
      <c r="D135" s="279" t="s">
        <v>251</v>
      </c>
      <c r="E135" s="261"/>
      <c r="F135" s="140"/>
      <c r="G135" s="140"/>
      <c r="H135" s="140"/>
      <c r="I135" s="140"/>
      <c r="J135" s="279"/>
    </row>
    <row r="136" spans="1:10" x14ac:dyDescent="0.3">
      <c r="A136" s="279" t="s">
        <v>252</v>
      </c>
      <c r="B136" s="279"/>
      <c r="C136" s="188"/>
      <c r="D136" s="279" t="s">
        <v>253</v>
      </c>
      <c r="E136" s="140"/>
      <c r="F136" s="140"/>
      <c r="G136" s="140"/>
      <c r="H136" s="140"/>
      <c r="I136" s="140"/>
      <c r="J136" s="279"/>
    </row>
    <row r="137" spans="1:10" x14ac:dyDescent="0.3">
      <c r="A137" s="279"/>
      <c r="B137" s="279"/>
      <c r="C137" s="279"/>
      <c r="D137" s="279"/>
      <c r="E137" s="279"/>
      <c r="F137" s="279"/>
      <c r="G137" s="279"/>
      <c r="H137" s="279"/>
      <c r="I137" s="279"/>
      <c r="J137" s="279"/>
    </row>
    <row r="138" spans="1:10" x14ac:dyDescent="0.3">
      <c r="A138" s="262" t="s">
        <v>254</v>
      </c>
      <c r="B138" s="262"/>
      <c r="C138" s="263">
        <f>1000*((('5. User defined fertiliser'!C120/100)*'Default data'!C191:D191)+(('5. User defined fertiliser'!C122/100)*'Default data'!C197:D197)+(('5. User defined fertiliser'!C124/100)*'Default data'!C202:D202)+(('5. User defined fertiliser'!C128/100)*'Default data'!C204:D204)+(('5. User defined fertiliser'!C129/100)*'Default data'!C205:D205)+(('5. User defined fertiliser'!C130/100)*'Default data'!C206:D206)+(('5. User defined fertiliser'!C133/100)*'Default data'!C207:D207)+(('5. User defined fertiliser'!C134/100)*'Default data'!C208:D208)+(('5. User defined fertiliser'!C135/100)*'Default data'!C209:D209)+(('5. User defined fertiliser'!C136/100)*'Default data'!C210:D210))</f>
        <v>0</v>
      </c>
      <c r="D138" s="279"/>
      <c r="E138" s="279"/>
      <c r="F138" s="279"/>
      <c r="G138" s="279"/>
      <c r="H138" s="279"/>
      <c r="I138" s="279"/>
      <c r="J138" s="279"/>
    </row>
    <row r="139" spans="1:10" s="327" customFormat="1" ht="15" thickBot="1" x14ac:dyDescent="0.35"/>
    <row r="140" spans="1:10" x14ac:dyDescent="0.3">
      <c r="A140" s="279"/>
      <c r="B140" s="279"/>
      <c r="C140" s="279"/>
      <c r="D140" s="279"/>
      <c r="E140" s="279"/>
      <c r="F140" s="279"/>
      <c r="G140" s="279"/>
      <c r="H140" s="279"/>
      <c r="I140" s="279"/>
      <c r="J140" s="279"/>
    </row>
    <row r="141" spans="1:10" x14ac:dyDescent="0.3">
      <c r="A141" s="279" t="s">
        <v>220</v>
      </c>
      <c r="B141" s="279"/>
      <c r="C141" s="188" t="s">
        <v>408</v>
      </c>
      <c r="D141" s="140"/>
      <c r="E141" s="279"/>
      <c r="F141" s="279"/>
      <c r="G141" s="279"/>
      <c r="H141" s="279"/>
      <c r="I141" s="279"/>
      <c r="J141" s="279"/>
    </row>
    <row r="142" spans="1:10" x14ac:dyDescent="0.3">
      <c r="A142" s="279"/>
      <c r="B142" s="279"/>
      <c r="C142" s="279"/>
      <c r="D142" s="279"/>
      <c r="E142" s="279"/>
      <c r="F142" s="279"/>
      <c r="G142" s="279"/>
      <c r="H142" s="279"/>
      <c r="I142" s="279"/>
      <c r="J142" s="140"/>
    </row>
    <row r="143" spans="1:10" ht="32.1" customHeight="1" x14ac:dyDescent="0.3">
      <c r="A143" s="278" t="s">
        <v>221</v>
      </c>
      <c r="B143" s="279"/>
      <c r="C143" s="279"/>
      <c r="D143" s="279"/>
      <c r="E143" s="438" t="s">
        <v>376</v>
      </c>
      <c r="F143" s="438"/>
      <c r="G143" s="438"/>
      <c r="H143" s="438"/>
      <c r="I143" s="438"/>
      <c r="J143" s="438"/>
    </row>
    <row r="144" spans="1:10" x14ac:dyDescent="0.3">
      <c r="A144" s="279"/>
      <c r="B144" s="279"/>
      <c r="C144" s="279"/>
      <c r="D144" s="279"/>
      <c r="E144" s="279"/>
      <c r="F144" s="279"/>
      <c r="G144" s="279"/>
      <c r="H144" s="279"/>
      <c r="I144" s="279"/>
      <c r="J144" s="279"/>
    </row>
    <row r="145" spans="1:10" ht="28.8" x14ac:dyDescent="0.3">
      <c r="A145" s="279"/>
      <c r="B145" s="279"/>
      <c r="C145" s="279"/>
      <c r="D145" s="279"/>
      <c r="E145" s="258" t="s">
        <v>222</v>
      </c>
      <c r="F145" s="258" t="s">
        <v>223</v>
      </c>
      <c r="G145" s="258" t="s">
        <v>224</v>
      </c>
      <c r="H145" s="258" t="s">
        <v>225</v>
      </c>
      <c r="I145" s="258" t="s">
        <v>226</v>
      </c>
      <c r="J145" s="279"/>
    </row>
    <row r="146" spans="1:10" x14ac:dyDescent="0.3">
      <c r="A146" s="279" t="s">
        <v>227</v>
      </c>
      <c r="B146" s="279"/>
      <c r="C146" s="188"/>
      <c r="D146" s="279" t="s">
        <v>228</v>
      </c>
      <c r="E146" s="188"/>
      <c r="F146" s="188"/>
      <c r="G146" s="188"/>
      <c r="H146" s="188"/>
      <c r="I146" s="188"/>
      <c r="J146" s="259" t="str">
        <f>CONCATENATE(E146,F146,G146,H146,I146)</f>
        <v/>
      </c>
    </row>
    <row r="147" spans="1:10" ht="28.8" x14ac:dyDescent="0.3">
      <c r="A147" s="279"/>
      <c r="B147" s="279"/>
      <c r="C147" s="140"/>
      <c r="D147" s="279"/>
      <c r="E147" s="258" t="s">
        <v>229</v>
      </c>
      <c r="F147" s="258" t="s">
        <v>230</v>
      </c>
      <c r="G147" s="258" t="s">
        <v>231</v>
      </c>
      <c r="H147" s="13"/>
      <c r="I147" s="279"/>
      <c r="J147" s="279"/>
    </row>
    <row r="148" spans="1:10" x14ac:dyDescent="0.3">
      <c r="A148" s="279" t="s">
        <v>232</v>
      </c>
      <c r="B148" s="279"/>
      <c r="C148" s="188"/>
      <c r="D148" s="279" t="s">
        <v>233</v>
      </c>
      <c r="E148" s="188"/>
      <c r="F148" s="188"/>
      <c r="G148" s="188"/>
      <c r="H148" s="259" t="str">
        <f>CONCATENATE(E148,F148,G148)</f>
        <v/>
      </c>
      <c r="I148" s="260" t="str">
        <f>IF(H148&gt;"Y","WARNING","")</f>
        <v/>
      </c>
      <c r="J148" s="279"/>
    </row>
    <row r="149" spans="1:10" ht="43.2" x14ac:dyDescent="0.3">
      <c r="A149" s="279"/>
      <c r="B149" s="279"/>
      <c r="C149" s="140"/>
      <c r="D149" s="279"/>
      <c r="E149" s="258" t="s">
        <v>234</v>
      </c>
      <c r="F149" s="258" t="s">
        <v>235</v>
      </c>
      <c r="G149" s="279"/>
      <c r="H149" s="279"/>
      <c r="I149" s="279"/>
      <c r="J149" s="279"/>
    </row>
    <row r="150" spans="1:10" x14ac:dyDescent="0.3">
      <c r="A150" s="279" t="s">
        <v>236</v>
      </c>
      <c r="B150" s="279"/>
      <c r="C150" s="188"/>
      <c r="D150" s="279" t="s">
        <v>237</v>
      </c>
      <c r="E150" s="188"/>
      <c r="F150" s="188"/>
      <c r="G150" s="259" t="str">
        <f>CONCATENATE(E150,F150)</f>
        <v/>
      </c>
      <c r="H150" s="279" t="str">
        <f>IF(G150&gt;"Y","WARNING","")</f>
        <v/>
      </c>
      <c r="I150" s="279"/>
      <c r="J150" s="279"/>
    </row>
    <row r="151" spans="1:10" x14ac:dyDescent="0.3">
      <c r="A151" s="279"/>
      <c r="B151" s="279"/>
      <c r="C151" s="279"/>
      <c r="D151" s="279"/>
      <c r="E151" s="279"/>
      <c r="F151" s="279"/>
      <c r="G151" s="279"/>
      <c r="H151" s="279"/>
      <c r="I151" s="279"/>
      <c r="J151" s="279"/>
    </row>
    <row r="152" spans="1:10" x14ac:dyDescent="0.3">
      <c r="A152" s="278" t="s">
        <v>238</v>
      </c>
      <c r="B152" s="279"/>
      <c r="C152" s="279"/>
      <c r="D152" s="279"/>
      <c r="E152" s="261"/>
      <c r="F152" s="140"/>
      <c r="G152" s="140"/>
      <c r="H152" s="140"/>
      <c r="I152" s="140"/>
      <c r="J152" s="279"/>
    </row>
    <row r="153" spans="1:10" x14ac:dyDescent="0.3">
      <c r="A153" s="279"/>
      <c r="B153" s="279"/>
      <c r="C153" s="279"/>
      <c r="D153" s="279"/>
      <c r="E153" s="140"/>
      <c r="F153" s="140"/>
      <c r="G153" s="140"/>
      <c r="H153" s="140"/>
      <c r="I153" s="140"/>
      <c r="J153" s="279"/>
    </row>
    <row r="154" spans="1:10" x14ac:dyDescent="0.3">
      <c r="A154" s="279" t="s">
        <v>239</v>
      </c>
      <c r="B154" s="279"/>
      <c r="C154" s="188"/>
      <c r="D154" s="279" t="s">
        <v>240</v>
      </c>
      <c r="E154" s="261"/>
      <c r="F154" s="140"/>
      <c r="G154" s="140"/>
      <c r="H154" s="140"/>
      <c r="I154" s="140"/>
      <c r="J154" s="279"/>
    </row>
    <row r="155" spans="1:10" x14ac:dyDescent="0.3">
      <c r="A155" s="279" t="s">
        <v>241</v>
      </c>
      <c r="B155" s="279"/>
      <c r="C155" s="188"/>
      <c r="D155" s="279" t="s">
        <v>242</v>
      </c>
      <c r="E155" s="140"/>
      <c r="F155" s="140"/>
      <c r="G155" s="140"/>
      <c r="H155" s="140"/>
      <c r="I155" s="140"/>
      <c r="J155" s="279"/>
    </row>
    <row r="156" spans="1:10" x14ac:dyDescent="0.3">
      <c r="A156" s="279" t="s">
        <v>243</v>
      </c>
      <c r="B156" s="279"/>
      <c r="C156" s="188"/>
      <c r="D156" s="279" t="s">
        <v>244</v>
      </c>
      <c r="E156" s="261"/>
      <c r="F156" s="140"/>
      <c r="G156" s="140"/>
      <c r="H156" s="140"/>
      <c r="I156" s="140"/>
      <c r="J156" s="279"/>
    </row>
    <row r="157" spans="1:10" x14ac:dyDescent="0.3">
      <c r="A157" s="279"/>
      <c r="B157" s="279"/>
      <c r="C157" s="279"/>
      <c r="D157" s="279"/>
      <c r="E157" s="140"/>
      <c r="F157" s="140"/>
      <c r="G157" s="140"/>
      <c r="H157" s="140"/>
      <c r="I157" s="140"/>
      <c r="J157" s="279"/>
    </row>
    <row r="158" spans="1:10" x14ac:dyDescent="0.3">
      <c r="A158" s="278" t="s">
        <v>245</v>
      </c>
      <c r="B158" s="279"/>
      <c r="C158" s="279"/>
      <c r="D158" s="279"/>
      <c r="E158" s="261"/>
      <c r="F158" s="140"/>
      <c r="G158" s="140"/>
      <c r="H158" s="140"/>
      <c r="I158" s="140"/>
      <c r="J158" s="279"/>
    </row>
    <row r="159" spans="1:10" x14ac:dyDescent="0.3">
      <c r="A159" s="279" t="s">
        <v>246</v>
      </c>
      <c r="B159" s="279"/>
      <c r="C159" s="188"/>
      <c r="D159" s="279" t="s">
        <v>247</v>
      </c>
      <c r="E159" s="140"/>
      <c r="F159" s="140"/>
      <c r="G159" s="140"/>
      <c r="H159" s="140"/>
      <c r="I159" s="140"/>
      <c r="J159" s="279"/>
    </row>
    <row r="160" spans="1:10" x14ac:dyDescent="0.3">
      <c r="A160" s="279" t="s">
        <v>248</v>
      </c>
      <c r="B160" s="279"/>
      <c r="C160" s="188"/>
      <c r="D160" s="279" t="s">
        <v>249</v>
      </c>
      <c r="E160" s="261"/>
      <c r="F160" s="140"/>
      <c r="G160" s="140"/>
      <c r="H160" s="140"/>
      <c r="I160" s="140"/>
      <c r="J160" s="279"/>
    </row>
    <row r="161" spans="1:10" x14ac:dyDescent="0.3">
      <c r="A161" s="279" t="s">
        <v>250</v>
      </c>
      <c r="B161" s="279"/>
      <c r="C161" s="188"/>
      <c r="D161" s="279" t="s">
        <v>251</v>
      </c>
      <c r="E161" s="261"/>
      <c r="F161" s="140"/>
      <c r="G161" s="140"/>
      <c r="H161" s="140"/>
      <c r="I161" s="140"/>
      <c r="J161" s="279"/>
    </row>
    <row r="162" spans="1:10" x14ac:dyDescent="0.3">
      <c r="A162" s="279" t="s">
        <v>252</v>
      </c>
      <c r="B162" s="279"/>
      <c r="C162" s="188"/>
      <c r="D162" s="279" t="s">
        <v>253</v>
      </c>
      <c r="E162" s="140"/>
      <c r="F162" s="140"/>
      <c r="G162" s="140"/>
      <c r="H162" s="140"/>
      <c r="I162" s="140"/>
      <c r="J162" s="279"/>
    </row>
    <row r="163" spans="1:10" x14ac:dyDescent="0.3">
      <c r="A163" s="279"/>
      <c r="B163" s="279"/>
      <c r="C163" s="279"/>
      <c r="D163" s="279"/>
      <c r="E163" s="279"/>
      <c r="F163" s="279"/>
      <c r="G163" s="279"/>
      <c r="H163" s="279"/>
      <c r="I163" s="279"/>
      <c r="J163" s="279"/>
    </row>
    <row r="164" spans="1:10" x14ac:dyDescent="0.3">
      <c r="A164" s="262" t="s">
        <v>254</v>
      </c>
      <c r="B164" s="262"/>
      <c r="C164" s="263">
        <f>1000*((('5. User defined fertiliser'!C146/100)*'Default data'!C220:D220)+(('5. User defined fertiliser'!C148/100)*'Default data'!C226:D226)+(('5. User defined fertiliser'!C150/100)*'Default data'!C231:D231)+(('5. User defined fertiliser'!C154/100)*'Default data'!C233:D233)+(('5. User defined fertiliser'!C155/100)*'Default data'!C234:D234)+(('5. User defined fertiliser'!C156/100)*'Default data'!C235:D235)+(('5. User defined fertiliser'!C159/100)*'Default data'!C236:D236)+(('5. User defined fertiliser'!C160/100)*'Default data'!C237:D237)+(('5. User defined fertiliser'!C161/100)*'Default data'!C238:D238)+(('5. User defined fertiliser'!C162/100)*'Default data'!C239:D239))</f>
        <v>0</v>
      </c>
      <c r="D164" s="279"/>
      <c r="E164" s="279"/>
      <c r="F164" s="279"/>
      <c r="G164" s="279"/>
      <c r="H164" s="279"/>
      <c r="I164" s="279"/>
      <c r="J164" s="279"/>
    </row>
    <row r="165" spans="1:10" s="327" customFormat="1" ht="15" thickBot="1" x14ac:dyDescent="0.35"/>
    <row r="166" spans="1:10" x14ac:dyDescent="0.3">
      <c r="A166" s="279"/>
      <c r="B166" s="279"/>
      <c r="C166" s="279"/>
      <c r="D166" s="279"/>
      <c r="E166" s="279"/>
      <c r="F166" s="279"/>
      <c r="G166" s="279"/>
      <c r="H166" s="279"/>
      <c r="I166" s="279"/>
      <c r="J166" s="279"/>
    </row>
    <row r="167" spans="1:10" x14ac:dyDescent="0.3">
      <c r="A167" s="279" t="s">
        <v>220</v>
      </c>
      <c r="B167" s="279"/>
      <c r="C167" s="188" t="s">
        <v>409</v>
      </c>
      <c r="D167" s="140"/>
      <c r="E167" s="279"/>
      <c r="F167" s="279"/>
      <c r="G167" s="279"/>
      <c r="H167" s="279"/>
      <c r="I167" s="279"/>
      <c r="J167" s="279"/>
    </row>
    <row r="168" spans="1:10" x14ac:dyDescent="0.3">
      <c r="A168" s="279"/>
      <c r="B168" s="279"/>
      <c r="C168" s="279"/>
      <c r="D168" s="279"/>
      <c r="E168" s="279"/>
      <c r="F168" s="279"/>
      <c r="G168" s="279"/>
      <c r="H168" s="279"/>
      <c r="I168" s="279"/>
      <c r="J168" s="140"/>
    </row>
    <row r="169" spans="1:10" ht="32.1" customHeight="1" x14ac:dyDescent="0.3">
      <c r="A169" s="278" t="s">
        <v>221</v>
      </c>
      <c r="B169" s="279"/>
      <c r="C169" s="279"/>
      <c r="D169" s="279"/>
      <c r="E169" s="438" t="s">
        <v>376</v>
      </c>
      <c r="F169" s="438"/>
      <c r="G169" s="438"/>
      <c r="H169" s="438"/>
      <c r="I169" s="438"/>
      <c r="J169" s="438"/>
    </row>
    <row r="170" spans="1:10" x14ac:dyDescent="0.3">
      <c r="A170" s="279"/>
      <c r="B170" s="279"/>
      <c r="C170" s="279"/>
      <c r="D170" s="279"/>
      <c r="E170" s="279"/>
      <c r="F170" s="279"/>
      <c r="G170" s="279"/>
      <c r="H170" s="279"/>
      <c r="I170" s="279"/>
      <c r="J170" s="279"/>
    </row>
    <row r="171" spans="1:10" ht="28.8" x14ac:dyDescent="0.3">
      <c r="A171" s="279"/>
      <c r="B171" s="279"/>
      <c r="C171" s="279"/>
      <c r="D171" s="279"/>
      <c r="E171" s="258" t="s">
        <v>222</v>
      </c>
      <c r="F171" s="258" t="s">
        <v>223</v>
      </c>
      <c r="G171" s="258" t="s">
        <v>224</v>
      </c>
      <c r="H171" s="258" t="s">
        <v>225</v>
      </c>
      <c r="I171" s="258" t="s">
        <v>226</v>
      </c>
      <c r="J171" s="279"/>
    </row>
    <row r="172" spans="1:10" x14ac:dyDescent="0.3">
      <c r="A172" s="279" t="s">
        <v>227</v>
      </c>
      <c r="B172" s="279"/>
      <c r="C172" s="188"/>
      <c r="D172" s="279" t="s">
        <v>228</v>
      </c>
      <c r="E172" s="188"/>
      <c r="F172" s="188"/>
      <c r="G172" s="188"/>
      <c r="H172" s="188"/>
      <c r="I172" s="188"/>
      <c r="J172" s="259" t="str">
        <f>CONCATENATE(E172,F172,G172,H172,I172)</f>
        <v/>
      </c>
    </row>
    <row r="173" spans="1:10" ht="28.8" x14ac:dyDescent="0.3">
      <c r="A173" s="279"/>
      <c r="B173" s="279"/>
      <c r="C173" s="140"/>
      <c r="D173" s="279"/>
      <c r="E173" s="258" t="s">
        <v>229</v>
      </c>
      <c r="F173" s="258" t="s">
        <v>230</v>
      </c>
      <c r="G173" s="258" t="s">
        <v>231</v>
      </c>
      <c r="H173" s="13"/>
      <c r="I173" s="279"/>
      <c r="J173" s="279"/>
    </row>
    <row r="174" spans="1:10" x14ac:dyDescent="0.3">
      <c r="A174" s="279" t="s">
        <v>232</v>
      </c>
      <c r="B174" s="279"/>
      <c r="C174" s="188"/>
      <c r="D174" s="279" t="s">
        <v>233</v>
      </c>
      <c r="E174" s="188"/>
      <c r="F174" s="188"/>
      <c r="G174" s="188"/>
      <c r="H174" s="259" t="str">
        <f>CONCATENATE(E174,F174,G174)</f>
        <v/>
      </c>
      <c r="I174" s="260" t="str">
        <f>IF(H174&gt;"Y","WARNING","")</f>
        <v/>
      </c>
      <c r="J174" s="279"/>
    </row>
    <row r="175" spans="1:10" ht="43.2" x14ac:dyDescent="0.3">
      <c r="A175" s="279"/>
      <c r="B175" s="279"/>
      <c r="C175" s="140"/>
      <c r="D175" s="279"/>
      <c r="E175" s="258" t="s">
        <v>234</v>
      </c>
      <c r="F175" s="258" t="s">
        <v>235</v>
      </c>
      <c r="G175" s="279"/>
      <c r="H175" s="279"/>
      <c r="I175" s="279"/>
      <c r="J175" s="279"/>
    </row>
    <row r="176" spans="1:10" x14ac:dyDescent="0.3">
      <c r="A176" s="279" t="s">
        <v>236</v>
      </c>
      <c r="B176" s="279"/>
      <c r="C176" s="188"/>
      <c r="D176" s="279" t="s">
        <v>237</v>
      </c>
      <c r="E176" s="188"/>
      <c r="F176" s="188"/>
      <c r="G176" s="259" t="str">
        <f>CONCATENATE(E176,F176)</f>
        <v/>
      </c>
      <c r="H176" s="279" t="str">
        <f>IF(G176&gt;"Y","WARNING","")</f>
        <v/>
      </c>
      <c r="I176" s="279"/>
      <c r="J176" s="279"/>
    </row>
    <row r="177" spans="1:10" x14ac:dyDescent="0.3">
      <c r="A177" s="279"/>
      <c r="B177" s="279"/>
      <c r="C177" s="279"/>
      <c r="D177" s="279"/>
      <c r="E177" s="279"/>
      <c r="F177" s="279"/>
      <c r="G177" s="279"/>
      <c r="H177" s="279"/>
      <c r="I177" s="279"/>
      <c r="J177" s="279"/>
    </row>
    <row r="178" spans="1:10" x14ac:dyDescent="0.3">
      <c r="A178" s="278" t="s">
        <v>238</v>
      </c>
      <c r="B178" s="279"/>
      <c r="C178" s="279"/>
      <c r="D178" s="279"/>
      <c r="E178" s="261"/>
      <c r="F178" s="140"/>
      <c r="G178" s="140"/>
      <c r="H178" s="140"/>
      <c r="I178" s="140"/>
      <c r="J178" s="279"/>
    </row>
    <row r="179" spans="1:10" x14ac:dyDescent="0.3">
      <c r="A179" s="279"/>
      <c r="B179" s="279"/>
      <c r="C179" s="279"/>
      <c r="D179" s="279"/>
      <c r="E179" s="140"/>
      <c r="F179" s="140"/>
      <c r="G179" s="140"/>
      <c r="H179" s="140"/>
      <c r="I179" s="140"/>
      <c r="J179" s="279"/>
    </row>
    <row r="180" spans="1:10" x14ac:dyDescent="0.3">
      <c r="A180" s="279" t="s">
        <v>239</v>
      </c>
      <c r="B180" s="279"/>
      <c r="C180" s="188"/>
      <c r="D180" s="279" t="s">
        <v>240</v>
      </c>
      <c r="E180" s="261"/>
      <c r="F180" s="140"/>
      <c r="G180" s="140"/>
      <c r="H180" s="140"/>
      <c r="I180" s="140"/>
      <c r="J180" s="279"/>
    </row>
    <row r="181" spans="1:10" x14ac:dyDescent="0.3">
      <c r="A181" s="279" t="s">
        <v>241</v>
      </c>
      <c r="B181" s="279"/>
      <c r="C181" s="188"/>
      <c r="D181" s="279" t="s">
        <v>242</v>
      </c>
      <c r="E181" s="140"/>
      <c r="F181" s="140"/>
      <c r="G181" s="140"/>
      <c r="H181" s="140"/>
      <c r="I181" s="140"/>
      <c r="J181" s="279"/>
    </row>
    <row r="182" spans="1:10" x14ac:dyDescent="0.3">
      <c r="A182" s="279" t="s">
        <v>243</v>
      </c>
      <c r="B182" s="279"/>
      <c r="C182" s="188"/>
      <c r="D182" s="279" t="s">
        <v>244</v>
      </c>
      <c r="E182" s="261"/>
      <c r="F182" s="140"/>
      <c r="G182" s="140"/>
      <c r="H182" s="140"/>
      <c r="I182" s="140"/>
      <c r="J182" s="279"/>
    </row>
    <row r="183" spans="1:10" x14ac:dyDescent="0.3">
      <c r="A183" s="279"/>
      <c r="B183" s="279"/>
      <c r="C183" s="279"/>
      <c r="D183" s="279"/>
      <c r="E183" s="140"/>
      <c r="F183" s="140"/>
      <c r="G183" s="140"/>
      <c r="H183" s="140"/>
      <c r="I183" s="140"/>
      <c r="J183" s="279"/>
    </row>
    <row r="184" spans="1:10" x14ac:dyDescent="0.3">
      <c r="A184" s="278" t="s">
        <v>245</v>
      </c>
      <c r="B184" s="279"/>
      <c r="C184" s="279"/>
      <c r="D184" s="279"/>
      <c r="E184" s="261"/>
      <c r="F184" s="140"/>
      <c r="G184" s="140"/>
      <c r="H184" s="140"/>
      <c r="I184" s="140"/>
      <c r="J184" s="279"/>
    </row>
    <row r="185" spans="1:10" x14ac:dyDescent="0.3">
      <c r="A185" s="279" t="s">
        <v>246</v>
      </c>
      <c r="B185" s="279"/>
      <c r="C185" s="188"/>
      <c r="D185" s="279" t="s">
        <v>247</v>
      </c>
      <c r="E185" s="140"/>
      <c r="F185" s="140"/>
      <c r="G185" s="140"/>
      <c r="H185" s="140"/>
      <c r="I185" s="140"/>
      <c r="J185" s="279"/>
    </row>
    <row r="186" spans="1:10" x14ac:dyDescent="0.3">
      <c r="A186" s="279" t="s">
        <v>248</v>
      </c>
      <c r="B186" s="279"/>
      <c r="C186" s="188"/>
      <c r="D186" s="279" t="s">
        <v>249</v>
      </c>
      <c r="E186" s="261"/>
      <c r="F186" s="140"/>
      <c r="G186" s="140"/>
      <c r="H186" s="140"/>
      <c r="I186" s="140"/>
      <c r="J186" s="279"/>
    </row>
    <row r="187" spans="1:10" x14ac:dyDescent="0.3">
      <c r="A187" s="279" t="s">
        <v>250</v>
      </c>
      <c r="B187" s="279"/>
      <c r="C187" s="188"/>
      <c r="D187" s="279" t="s">
        <v>251</v>
      </c>
      <c r="E187" s="261"/>
      <c r="F187" s="140"/>
      <c r="G187" s="140"/>
      <c r="H187" s="140"/>
      <c r="I187" s="140"/>
      <c r="J187" s="279"/>
    </row>
    <row r="188" spans="1:10" x14ac:dyDescent="0.3">
      <c r="A188" s="279" t="s">
        <v>252</v>
      </c>
      <c r="B188" s="279"/>
      <c r="C188" s="188"/>
      <c r="D188" s="279" t="s">
        <v>253</v>
      </c>
      <c r="E188" s="140"/>
      <c r="F188" s="140"/>
      <c r="G188" s="140"/>
      <c r="H188" s="140"/>
      <c r="I188" s="140"/>
      <c r="J188" s="279"/>
    </row>
    <row r="189" spans="1:10" x14ac:dyDescent="0.3">
      <c r="A189" s="279"/>
      <c r="B189" s="279"/>
      <c r="C189" s="279"/>
      <c r="D189" s="279"/>
      <c r="E189" s="279"/>
      <c r="F189" s="279"/>
      <c r="G189" s="279"/>
      <c r="H189" s="279"/>
      <c r="I189" s="279"/>
      <c r="J189" s="279"/>
    </row>
    <row r="190" spans="1:10" x14ac:dyDescent="0.3">
      <c r="A190" s="262" t="s">
        <v>254</v>
      </c>
      <c r="B190" s="262"/>
      <c r="C190" s="263">
        <f>1000*((('5. User defined fertiliser'!C172/100)*'Default data'!C249:D249)+(('5. User defined fertiliser'!C174/100)*'Default data'!C255:D255)+(('5. User defined fertiliser'!C176/100)*'Default data'!C260:D260)+(('5. User defined fertiliser'!C180/100)*'Default data'!C262:D262)+(('5. User defined fertiliser'!C181/100)*'Default data'!C263:D263)+(('5. User defined fertiliser'!C182/100)*'Default data'!C264:D264)+(('5. User defined fertiliser'!C185/100)*'Default data'!C265:D265)+(('5. User defined fertiliser'!C186/100)*'Default data'!C266:D266)+(('5. User defined fertiliser'!C187/100)*'Default data'!C267:D267)+(('5. User defined fertiliser'!C188/100)*'Default data'!C268:D268))</f>
        <v>0</v>
      </c>
      <c r="D190" s="279"/>
      <c r="E190" s="279"/>
      <c r="F190" s="279"/>
      <c r="G190" s="279"/>
      <c r="H190" s="279"/>
      <c r="I190" s="279"/>
      <c r="J190" s="279"/>
    </row>
    <row r="191" spans="1:10" s="327" customFormat="1" ht="15" thickBot="1" x14ac:dyDescent="0.35"/>
    <row r="192" spans="1:10" x14ac:dyDescent="0.3">
      <c r="A192" s="279"/>
      <c r="B192" s="279"/>
      <c r="C192" s="279"/>
      <c r="D192" s="279"/>
      <c r="E192" s="279"/>
      <c r="F192" s="279"/>
      <c r="G192" s="279"/>
      <c r="H192" s="279"/>
      <c r="I192" s="279"/>
      <c r="J192" s="279"/>
    </row>
    <row r="193" spans="1:10" x14ac:dyDescent="0.3">
      <c r="A193" s="279" t="s">
        <v>220</v>
      </c>
      <c r="B193" s="279"/>
      <c r="C193" s="188" t="s">
        <v>410</v>
      </c>
      <c r="D193" s="140"/>
      <c r="E193" s="279"/>
      <c r="F193" s="279"/>
      <c r="G193" s="279"/>
      <c r="H193" s="279"/>
      <c r="I193" s="279"/>
      <c r="J193" s="279"/>
    </row>
    <row r="194" spans="1:10" x14ac:dyDescent="0.3">
      <c r="A194" s="279"/>
      <c r="B194" s="279"/>
      <c r="C194" s="279"/>
      <c r="D194" s="279"/>
      <c r="E194" s="279"/>
      <c r="F194" s="279"/>
      <c r="G194" s="279"/>
      <c r="H194" s="279"/>
      <c r="I194" s="279"/>
      <c r="J194" s="140"/>
    </row>
    <row r="195" spans="1:10" ht="32.1" customHeight="1" x14ac:dyDescent="0.3">
      <c r="A195" s="278" t="s">
        <v>221</v>
      </c>
      <c r="B195" s="279"/>
      <c r="C195" s="279"/>
      <c r="D195" s="279"/>
      <c r="E195" s="438" t="s">
        <v>376</v>
      </c>
      <c r="F195" s="438"/>
      <c r="G195" s="438"/>
      <c r="H195" s="438"/>
      <c r="I195" s="438"/>
      <c r="J195" s="438"/>
    </row>
    <row r="196" spans="1:10" x14ac:dyDescent="0.3">
      <c r="A196" s="279"/>
      <c r="B196" s="279"/>
      <c r="C196" s="279"/>
      <c r="D196" s="279"/>
      <c r="E196" s="279"/>
      <c r="F196" s="279"/>
      <c r="G196" s="279"/>
      <c r="H196" s="279"/>
      <c r="I196" s="279"/>
      <c r="J196" s="279"/>
    </row>
    <row r="197" spans="1:10" ht="28.8" x14ac:dyDescent="0.3">
      <c r="A197" s="279"/>
      <c r="B197" s="279"/>
      <c r="C197" s="279"/>
      <c r="D197" s="279"/>
      <c r="E197" s="258" t="s">
        <v>222</v>
      </c>
      <c r="F197" s="258" t="s">
        <v>223</v>
      </c>
      <c r="G197" s="258" t="s">
        <v>224</v>
      </c>
      <c r="H197" s="258" t="s">
        <v>225</v>
      </c>
      <c r="I197" s="258" t="s">
        <v>226</v>
      </c>
      <c r="J197" s="279"/>
    </row>
    <row r="198" spans="1:10" x14ac:dyDescent="0.3">
      <c r="A198" s="279" t="s">
        <v>227</v>
      </c>
      <c r="B198" s="279"/>
      <c r="C198" s="188"/>
      <c r="D198" s="279" t="s">
        <v>228</v>
      </c>
      <c r="E198" s="188"/>
      <c r="F198" s="188"/>
      <c r="G198" s="188"/>
      <c r="H198" s="188"/>
      <c r="I198" s="188"/>
      <c r="J198" s="259" t="str">
        <f>CONCATENATE(E198,F198,G198,H198,I198)</f>
        <v/>
      </c>
    </row>
    <row r="199" spans="1:10" ht="28.8" x14ac:dyDescent="0.3">
      <c r="A199" s="279"/>
      <c r="B199" s="279"/>
      <c r="C199" s="140"/>
      <c r="D199" s="279"/>
      <c r="E199" s="258" t="s">
        <v>229</v>
      </c>
      <c r="F199" s="258" t="s">
        <v>230</v>
      </c>
      <c r="G199" s="258" t="s">
        <v>231</v>
      </c>
      <c r="H199" s="13"/>
      <c r="I199" s="279"/>
      <c r="J199" s="279"/>
    </row>
    <row r="200" spans="1:10" x14ac:dyDescent="0.3">
      <c r="A200" s="279" t="s">
        <v>232</v>
      </c>
      <c r="B200" s="279"/>
      <c r="C200" s="188"/>
      <c r="D200" s="279" t="s">
        <v>233</v>
      </c>
      <c r="E200" s="188"/>
      <c r="F200" s="188"/>
      <c r="G200" s="188"/>
      <c r="H200" s="259" t="str">
        <f>CONCATENATE(E200,F200,G200)</f>
        <v/>
      </c>
      <c r="I200" s="260" t="str">
        <f>IF(H200&gt;"Y","WARNING","")</f>
        <v/>
      </c>
      <c r="J200" s="279"/>
    </row>
    <row r="201" spans="1:10" ht="43.2" x14ac:dyDescent="0.3">
      <c r="A201" s="279"/>
      <c r="B201" s="279"/>
      <c r="C201" s="140"/>
      <c r="D201" s="279"/>
      <c r="E201" s="258" t="s">
        <v>234</v>
      </c>
      <c r="F201" s="258" t="s">
        <v>235</v>
      </c>
      <c r="G201" s="279"/>
      <c r="H201" s="279"/>
      <c r="I201" s="279"/>
      <c r="J201" s="279"/>
    </row>
    <row r="202" spans="1:10" x14ac:dyDescent="0.3">
      <c r="A202" s="279" t="s">
        <v>236</v>
      </c>
      <c r="B202" s="279"/>
      <c r="C202" s="188"/>
      <c r="D202" s="279" t="s">
        <v>237</v>
      </c>
      <c r="E202" s="188"/>
      <c r="F202" s="188"/>
      <c r="G202" s="259" t="str">
        <f>CONCATENATE(E202,F202)</f>
        <v/>
      </c>
      <c r="H202" s="279" t="str">
        <f>IF(G202&gt;"Y","WARNING","")</f>
        <v/>
      </c>
      <c r="I202" s="279"/>
      <c r="J202" s="279"/>
    </row>
    <row r="203" spans="1:10" x14ac:dyDescent="0.3">
      <c r="A203" s="279"/>
      <c r="B203" s="279"/>
      <c r="C203" s="279"/>
      <c r="D203" s="279"/>
      <c r="E203" s="279"/>
      <c r="F203" s="279"/>
      <c r="G203" s="279"/>
      <c r="H203" s="279"/>
      <c r="I203" s="279"/>
      <c r="J203" s="279"/>
    </row>
    <row r="204" spans="1:10" x14ac:dyDescent="0.3">
      <c r="A204" s="278" t="s">
        <v>238</v>
      </c>
      <c r="B204" s="279"/>
      <c r="C204" s="279"/>
      <c r="D204" s="279"/>
      <c r="E204" s="261"/>
      <c r="F204" s="140"/>
      <c r="G204" s="140"/>
      <c r="H204" s="140"/>
      <c r="I204" s="140"/>
      <c r="J204" s="279"/>
    </row>
    <row r="205" spans="1:10" x14ac:dyDescent="0.3">
      <c r="A205" s="279"/>
      <c r="B205" s="279"/>
      <c r="C205" s="279"/>
      <c r="D205" s="279"/>
      <c r="E205" s="140"/>
      <c r="F205" s="140"/>
      <c r="G205" s="140"/>
      <c r="H205" s="140"/>
      <c r="I205" s="140"/>
      <c r="J205" s="279"/>
    </row>
    <row r="206" spans="1:10" x14ac:dyDescent="0.3">
      <c r="A206" s="279" t="s">
        <v>239</v>
      </c>
      <c r="B206" s="279"/>
      <c r="C206" s="188"/>
      <c r="D206" s="279" t="s">
        <v>240</v>
      </c>
      <c r="E206" s="261"/>
      <c r="F206" s="140"/>
      <c r="G206" s="140"/>
      <c r="H206" s="140"/>
      <c r="I206" s="140"/>
      <c r="J206" s="279"/>
    </row>
    <row r="207" spans="1:10" x14ac:dyDescent="0.3">
      <c r="A207" s="279" t="s">
        <v>241</v>
      </c>
      <c r="B207" s="279"/>
      <c r="C207" s="188"/>
      <c r="D207" s="279" t="s">
        <v>242</v>
      </c>
      <c r="E207" s="140"/>
      <c r="F207" s="140"/>
      <c r="G207" s="140"/>
      <c r="H207" s="140"/>
      <c r="I207" s="140"/>
      <c r="J207" s="279"/>
    </row>
    <row r="208" spans="1:10" x14ac:dyDescent="0.3">
      <c r="A208" s="279" t="s">
        <v>243</v>
      </c>
      <c r="B208" s="279"/>
      <c r="C208" s="188"/>
      <c r="D208" s="279" t="s">
        <v>244</v>
      </c>
      <c r="E208" s="261"/>
      <c r="F208" s="140"/>
      <c r="G208" s="140"/>
      <c r="H208" s="140"/>
      <c r="I208" s="140"/>
      <c r="J208" s="279"/>
    </row>
    <row r="209" spans="1:10" x14ac:dyDescent="0.3">
      <c r="A209" s="279"/>
      <c r="B209" s="279"/>
      <c r="C209" s="279"/>
      <c r="D209" s="279"/>
      <c r="E209" s="140"/>
      <c r="F209" s="140"/>
      <c r="G209" s="140"/>
      <c r="H209" s="140"/>
      <c r="I209" s="140"/>
      <c r="J209" s="279"/>
    </row>
    <row r="210" spans="1:10" x14ac:dyDescent="0.3">
      <c r="A210" s="278" t="s">
        <v>245</v>
      </c>
      <c r="B210" s="279"/>
      <c r="C210" s="279"/>
      <c r="D210" s="279"/>
      <c r="E210" s="261"/>
      <c r="F210" s="140"/>
      <c r="G210" s="140"/>
      <c r="H210" s="140"/>
      <c r="I210" s="140"/>
      <c r="J210" s="279"/>
    </row>
    <row r="211" spans="1:10" x14ac:dyDescent="0.3">
      <c r="A211" s="279" t="s">
        <v>246</v>
      </c>
      <c r="B211" s="279"/>
      <c r="C211" s="188"/>
      <c r="D211" s="279" t="s">
        <v>247</v>
      </c>
      <c r="E211" s="140"/>
      <c r="F211" s="140"/>
      <c r="G211" s="140"/>
      <c r="H211" s="140"/>
      <c r="I211" s="140"/>
      <c r="J211" s="279"/>
    </row>
    <row r="212" spans="1:10" x14ac:dyDescent="0.3">
      <c r="A212" s="279" t="s">
        <v>248</v>
      </c>
      <c r="B212" s="279"/>
      <c r="C212" s="188"/>
      <c r="D212" s="279" t="s">
        <v>249</v>
      </c>
      <c r="E212" s="261"/>
      <c r="F212" s="140"/>
      <c r="G212" s="140"/>
      <c r="H212" s="140"/>
      <c r="I212" s="140"/>
      <c r="J212" s="279"/>
    </row>
    <row r="213" spans="1:10" x14ac:dyDescent="0.3">
      <c r="A213" s="279" t="s">
        <v>250</v>
      </c>
      <c r="B213" s="279"/>
      <c r="C213" s="188"/>
      <c r="D213" s="279" t="s">
        <v>251</v>
      </c>
      <c r="E213" s="261"/>
      <c r="F213" s="140"/>
      <c r="G213" s="140"/>
      <c r="H213" s="140"/>
      <c r="I213" s="140"/>
      <c r="J213" s="279"/>
    </row>
    <row r="214" spans="1:10" x14ac:dyDescent="0.3">
      <c r="A214" s="279" t="s">
        <v>252</v>
      </c>
      <c r="B214" s="279"/>
      <c r="C214" s="188"/>
      <c r="D214" s="279" t="s">
        <v>253</v>
      </c>
      <c r="E214" s="140"/>
      <c r="F214" s="140"/>
      <c r="G214" s="140"/>
      <c r="H214" s="140"/>
      <c r="I214" s="140"/>
      <c r="J214" s="279"/>
    </row>
    <row r="215" spans="1:10" x14ac:dyDescent="0.3">
      <c r="A215" s="279"/>
      <c r="B215" s="279"/>
      <c r="C215" s="279"/>
      <c r="D215" s="279"/>
      <c r="E215" s="279"/>
      <c r="F215" s="279"/>
      <c r="G215" s="279"/>
      <c r="H215" s="279"/>
      <c r="I215" s="279"/>
      <c r="J215" s="279"/>
    </row>
    <row r="216" spans="1:10" x14ac:dyDescent="0.3">
      <c r="A216" s="262" t="s">
        <v>254</v>
      </c>
      <c r="B216" s="262"/>
      <c r="C216" s="263">
        <f>1000*((('5. User defined fertiliser'!C198/100)*'Default data'!C278:D278)+(('5. User defined fertiliser'!C200/100)*'Default data'!C284:D284)+(('5. User defined fertiliser'!C202/100)*'Default data'!C289:D289)+(('5. User defined fertiliser'!C206/100)*'Default data'!C291:D291)+(('5. User defined fertiliser'!C207/100)*'Default data'!C292:D292)+(('5. User defined fertiliser'!C208/100)*'Default data'!C293:D293)+(('5. User defined fertiliser'!C211/100)*'Default data'!C294:D294)+(('5. User defined fertiliser'!C212/100)*'Default data'!C295:D295)+(('5. User defined fertiliser'!C213/100)*'Default data'!C296:D296)+(('5. User defined fertiliser'!C214/100)*'Default data'!C297:D297))</f>
        <v>0</v>
      </c>
      <c r="D216" s="279"/>
      <c r="E216" s="279"/>
      <c r="F216" s="279"/>
      <c r="G216" s="279"/>
      <c r="H216" s="279"/>
      <c r="I216" s="279"/>
      <c r="J216" s="279"/>
    </row>
    <row r="217" spans="1:10" s="327" customFormat="1" ht="15" thickBot="1" x14ac:dyDescent="0.35"/>
    <row r="218" spans="1:10" x14ac:dyDescent="0.3">
      <c r="A218" s="279"/>
      <c r="B218" s="279"/>
      <c r="C218" s="279"/>
      <c r="D218" s="279"/>
      <c r="E218" s="279"/>
      <c r="F218" s="279"/>
      <c r="G218" s="279"/>
      <c r="H218" s="279"/>
      <c r="I218" s="279"/>
      <c r="J218" s="279"/>
    </row>
    <row r="219" spans="1:10" x14ac:dyDescent="0.3">
      <c r="A219" s="279" t="s">
        <v>220</v>
      </c>
      <c r="B219" s="279"/>
      <c r="C219" s="188" t="s">
        <v>411</v>
      </c>
      <c r="D219" s="140"/>
      <c r="E219" s="279"/>
      <c r="F219" s="279"/>
      <c r="G219" s="279"/>
      <c r="H219" s="279"/>
      <c r="I219" s="279"/>
      <c r="J219" s="279"/>
    </row>
    <row r="220" spans="1:10" x14ac:dyDescent="0.3">
      <c r="A220" s="279"/>
      <c r="B220" s="279"/>
      <c r="C220" s="279"/>
      <c r="D220" s="279"/>
      <c r="E220" s="279"/>
      <c r="F220" s="279"/>
      <c r="G220" s="279"/>
      <c r="H220" s="279"/>
      <c r="I220" s="279"/>
      <c r="J220" s="140"/>
    </row>
    <row r="221" spans="1:10" ht="32.1" customHeight="1" x14ac:dyDescent="0.3">
      <c r="A221" s="278" t="s">
        <v>221</v>
      </c>
      <c r="B221" s="279"/>
      <c r="C221" s="279"/>
      <c r="D221" s="279"/>
      <c r="E221" s="438" t="s">
        <v>376</v>
      </c>
      <c r="F221" s="438"/>
      <c r="G221" s="438"/>
      <c r="H221" s="438"/>
      <c r="I221" s="438"/>
      <c r="J221" s="438"/>
    </row>
    <row r="222" spans="1:10" x14ac:dyDescent="0.3">
      <c r="A222" s="279"/>
      <c r="B222" s="279"/>
      <c r="C222" s="279"/>
      <c r="D222" s="279"/>
      <c r="E222" s="279"/>
      <c r="F222" s="279"/>
      <c r="G222" s="279"/>
      <c r="H222" s="279"/>
      <c r="I222" s="279"/>
      <c r="J222" s="279"/>
    </row>
    <row r="223" spans="1:10" ht="28.8" x14ac:dyDescent="0.3">
      <c r="A223" s="279"/>
      <c r="B223" s="279"/>
      <c r="C223" s="279"/>
      <c r="D223" s="279"/>
      <c r="E223" s="258" t="s">
        <v>222</v>
      </c>
      <c r="F223" s="258" t="s">
        <v>223</v>
      </c>
      <c r="G223" s="258" t="s">
        <v>224</v>
      </c>
      <c r="H223" s="258" t="s">
        <v>225</v>
      </c>
      <c r="I223" s="258" t="s">
        <v>226</v>
      </c>
      <c r="J223" s="279"/>
    </row>
    <row r="224" spans="1:10" x14ac:dyDescent="0.3">
      <c r="A224" s="279" t="s">
        <v>227</v>
      </c>
      <c r="B224" s="279"/>
      <c r="C224" s="188"/>
      <c r="D224" s="279" t="s">
        <v>228</v>
      </c>
      <c r="E224" s="188"/>
      <c r="F224" s="188"/>
      <c r="G224" s="188"/>
      <c r="H224" s="188"/>
      <c r="I224" s="188"/>
      <c r="J224" s="259" t="str">
        <f>CONCATENATE(E224,F224,G224,H224,I224)</f>
        <v/>
      </c>
    </row>
    <row r="225" spans="1:10" ht="28.8" x14ac:dyDescent="0.3">
      <c r="A225" s="279"/>
      <c r="B225" s="279"/>
      <c r="C225" s="140"/>
      <c r="D225" s="279"/>
      <c r="E225" s="258" t="s">
        <v>229</v>
      </c>
      <c r="F225" s="258" t="s">
        <v>230</v>
      </c>
      <c r="G225" s="258" t="s">
        <v>231</v>
      </c>
      <c r="H225" s="13"/>
      <c r="I225" s="279"/>
      <c r="J225" s="279"/>
    </row>
    <row r="226" spans="1:10" x14ac:dyDescent="0.3">
      <c r="A226" s="279" t="s">
        <v>232</v>
      </c>
      <c r="B226" s="279"/>
      <c r="C226" s="188"/>
      <c r="D226" s="279" t="s">
        <v>233</v>
      </c>
      <c r="E226" s="188"/>
      <c r="F226" s="188"/>
      <c r="G226" s="188"/>
      <c r="H226" s="259" t="str">
        <f>CONCATENATE(E226,F226,G226)</f>
        <v/>
      </c>
      <c r="I226" s="260" t="str">
        <f>IF(H226&gt;"Y","WARNING","")</f>
        <v/>
      </c>
      <c r="J226" s="279"/>
    </row>
    <row r="227" spans="1:10" ht="43.2" x14ac:dyDescent="0.3">
      <c r="A227" s="279"/>
      <c r="B227" s="279"/>
      <c r="C227" s="140"/>
      <c r="D227" s="279"/>
      <c r="E227" s="258" t="s">
        <v>234</v>
      </c>
      <c r="F227" s="258" t="s">
        <v>235</v>
      </c>
      <c r="G227" s="279"/>
      <c r="H227" s="279"/>
      <c r="I227" s="279"/>
      <c r="J227" s="279"/>
    </row>
    <row r="228" spans="1:10" x14ac:dyDescent="0.3">
      <c r="A228" s="279" t="s">
        <v>236</v>
      </c>
      <c r="B228" s="279"/>
      <c r="C228" s="188"/>
      <c r="D228" s="279" t="s">
        <v>237</v>
      </c>
      <c r="E228" s="188"/>
      <c r="F228" s="188"/>
      <c r="G228" s="259" t="str">
        <f>CONCATENATE(E228,F228)</f>
        <v/>
      </c>
      <c r="H228" s="279" t="str">
        <f>IF(G228&gt;"Y","WARNING","")</f>
        <v/>
      </c>
      <c r="I228" s="279"/>
      <c r="J228" s="279"/>
    </row>
    <row r="229" spans="1:10" x14ac:dyDescent="0.3">
      <c r="A229" s="279"/>
      <c r="B229" s="279"/>
      <c r="C229" s="279"/>
      <c r="D229" s="279"/>
      <c r="E229" s="279"/>
      <c r="F229" s="279"/>
      <c r="G229" s="279"/>
      <c r="H229" s="279"/>
      <c r="I229" s="279"/>
      <c r="J229" s="279"/>
    </row>
    <row r="230" spans="1:10" x14ac:dyDescent="0.3">
      <c r="A230" s="278" t="s">
        <v>238</v>
      </c>
      <c r="B230" s="279"/>
      <c r="C230" s="279"/>
      <c r="D230" s="279"/>
      <c r="E230" s="261"/>
      <c r="F230" s="140"/>
      <c r="G230" s="140"/>
      <c r="H230" s="140"/>
      <c r="I230" s="140"/>
      <c r="J230" s="279"/>
    </row>
    <row r="231" spans="1:10" x14ac:dyDescent="0.3">
      <c r="A231" s="279"/>
      <c r="B231" s="279"/>
      <c r="C231" s="279"/>
      <c r="D231" s="279"/>
      <c r="E231" s="140"/>
      <c r="F231" s="140"/>
      <c r="G231" s="140"/>
      <c r="H231" s="140"/>
      <c r="I231" s="140"/>
      <c r="J231" s="279"/>
    </row>
    <row r="232" spans="1:10" x14ac:dyDescent="0.3">
      <c r="A232" s="279" t="s">
        <v>239</v>
      </c>
      <c r="B232" s="279"/>
      <c r="C232" s="188"/>
      <c r="D232" s="279" t="s">
        <v>240</v>
      </c>
      <c r="E232" s="261"/>
      <c r="F232" s="140"/>
      <c r="G232" s="140"/>
      <c r="H232" s="140"/>
      <c r="I232" s="140"/>
      <c r="J232" s="279"/>
    </row>
    <row r="233" spans="1:10" x14ac:dyDescent="0.3">
      <c r="A233" s="279" t="s">
        <v>241</v>
      </c>
      <c r="B233" s="279"/>
      <c r="C233" s="188"/>
      <c r="D233" s="279" t="s">
        <v>242</v>
      </c>
      <c r="E233" s="140"/>
      <c r="F233" s="140"/>
      <c r="G233" s="140"/>
      <c r="H233" s="140"/>
      <c r="I233" s="140"/>
      <c r="J233" s="279"/>
    </row>
    <row r="234" spans="1:10" x14ac:dyDescent="0.3">
      <c r="A234" s="279" t="s">
        <v>243</v>
      </c>
      <c r="B234" s="279"/>
      <c r="C234" s="188"/>
      <c r="D234" s="279" t="s">
        <v>244</v>
      </c>
      <c r="E234" s="261"/>
      <c r="F234" s="140"/>
      <c r="G234" s="140"/>
      <c r="H234" s="140"/>
      <c r="I234" s="140"/>
      <c r="J234" s="279"/>
    </row>
    <row r="235" spans="1:10" x14ac:dyDescent="0.3">
      <c r="A235" s="279"/>
      <c r="B235" s="279"/>
      <c r="C235" s="279"/>
      <c r="D235" s="279"/>
      <c r="E235" s="140"/>
      <c r="F235" s="140"/>
      <c r="G235" s="140"/>
      <c r="H235" s="140"/>
      <c r="I235" s="140"/>
      <c r="J235" s="279"/>
    </row>
    <row r="236" spans="1:10" x14ac:dyDescent="0.3">
      <c r="A236" s="278" t="s">
        <v>245</v>
      </c>
      <c r="B236" s="279"/>
      <c r="C236" s="279"/>
      <c r="D236" s="279"/>
      <c r="E236" s="261"/>
      <c r="F236" s="140"/>
      <c r="G236" s="140"/>
      <c r="H236" s="140"/>
      <c r="I236" s="140"/>
      <c r="J236" s="279"/>
    </row>
    <row r="237" spans="1:10" x14ac:dyDescent="0.3">
      <c r="A237" s="279" t="s">
        <v>246</v>
      </c>
      <c r="B237" s="279"/>
      <c r="C237" s="188"/>
      <c r="D237" s="279" t="s">
        <v>247</v>
      </c>
      <c r="E237" s="140"/>
      <c r="F237" s="140"/>
      <c r="G237" s="140"/>
      <c r="H237" s="140"/>
      <c r="I237" s="140"/>
      <c r="J237" s="279"/>
    </row>
    <row r="238" spans="1:10" x14ac:dyDescent="0.3">
      <c r="A238" s="279" t="s">
        <v>248</v>
      </c>
      <c r="B238" s="279"/>
      <c r="C238" s="188"/>
      <c r="D238" s="279" t="s">
        <v>249</v>
      </c>
      <c r="E238" s="261"/>
      <c r="F238" s="140"/>
      <c r="G238" s="140"/>
      <c r="H238" s="140"/>
      <c r="I238" s="140"/>
      <c r="J238" s="279"/>
    </row>
    <row r="239" spans="1:10" x14ac:dyDescent="0.3">
      <c r="A239" s="279" t="s">
        <v>250</v>
      </c>
      <c r="B239" s="279"/>
      <c r="C239" s="188"/>
      <c r="D239" s="279" t="s">
        <v>251</v>
      </c>
      <c r="E239" s="261"/>
      <c r="F239" s="140"/>
      <c r="G239" s="140"/>
      <c r="H239" s="140"/>
      <c r="I239" s="140"/>
      <c r="J239" s="279"/>
    </row>
    <row r="240" spans="1:10" x14ac:dyDescent="0.3">
      <c r="A240" s="279" t="s">
        <v>252</v>
      </c>
      <c r="B240" s="279"/>
      <c r="C240" s="188"/>
      <c r="D240" s="279" t="s">
        <v>253</v>
      </c>
      <c r="E240" s="140"/>
      <c r="F240" s="140"/>
      <c r="G240" s="140"/>
      <c r="H240" s="140"/>
      <c r="I240" s="140"/>
      <c r="J240" s="279"/>
    </row>
    <row r="241" spans="1:10" x14ac:dyDescent="0.3">
      <c r="A241" s="279"/>
      <c r="B241" s="279"/>
      <c r="C241" s="279"/>
      <c r="D241" s="279"/>
      <c r="E241" s="279"/>
      <c r="F241" s="279"/>
      <c r="G241" s="279"/>
      <c r="H241" s="279"/>
      <c r="I241" s="279"/>
      <c r="J241" s="279"/>
    </row>
    <row r="242" spans="1:10" x14ac:dyDescent="0.3">
      <c r="A242" s="262" t="s">
        <v>254</v>
      </c>
      <c r="B242" s="262"/>
      <c r="C242" s="263">
        <f>1000*((('5. User defined fertiliser'!C224/100)*'Default data'!C307:D307)+(('5. User defined fertiliser'!C226/100)*'Default data'!C313:D313)+(('5. User defined fertiliser'!C228/100)*'Default data'!C318:D318)+(('5. User defined fertiliser'!C232/100)*'Default data'!C320:D320)+(('5. User defined fertiliser'!C233/100)*'Default data'!C321:D321)+(('5. User defined fertiliser'!C234/100)*'Default data'!C322:D322)+(('5. User defined fertiliser'!C237/100)*'Default data'!C323:D323)+(('5. User defined fertiliser'!C238/100)*'Default data'!C324:D324)+(('5. User defined fertiliser'!C239/100)*'Default data'!C325:D325)+(('5. User defined fertiliser'!C240/100)*'Default data'!C326:D326))</f>
        <v>0</v>
      </c>
      <c r="D242" s="279"/>
      <c r="E242" s="279"/>
      <c r="F242" s="279"/>
      <c r="G242" s="279"/>
      <c r="H242" s="279"/>
      <c r="I242" s="279"/>
      <c r="J242" s="279"/>
    </row>
    <row r="243" spans="1:10" s="327" customFormat="1" ht="15" thickBot="1" x14ac:dyDescent="0.35"/>
    <row r="244" spans="1:10" x14ac:dyDescent="0.3">
      <c r="A244" s="279"/>
      <c r="B244" s="279"/>
      <c r="C244" s="279"/>
      <c r="D244" s="279"/>
      <c r="E244" s="279"/>
      <c r="F244" s="279"/>
      <c r="G244" s="279"/>
      <c r="H244" s="279"/>
      <c r="I244" s="279"/>
      <c r="J244" s="279"/>
    </row>
    <row r="245" spans="1:10" x14ac:dyDescent="0.3">
      <c r="A245" s="279" t="s">
        <v>220</v>
      </c>
      <c r="B245" s="279"/>
      <c r="C245" s="188" t="s">
        <v>412</v>
      </c>
      <c r="D245" s="140"/>
      <c r="E245" s="279"/>
      <c r="F245" s="279"/>
      <c r="G245" s="279"/>
      <c r="H245" s="279"/>
      <c r="I245" s="279"/>
      <c r="J245" s="279"/>
    </row>
    <row r="246" spans="1:10" x14ac:dyDescent="0.3">
      <c r="A246" s="279"/>
      <c r="B246" s="279"/>
      <c r="C246" s="279"/>
      <c r="D246" s="279"/>
      <c r="E246" s="279"/>
      <c r="F246" s="279"/>
      <c r="G246" s="279"/>
      <c r="H246" s="279"/>
      <c r="I246" s="279"/>
      <c r="J246" s="140"/>
    </row>
    <row r="247" spans="1:10" ht="32.1" customHeight="1" x14ac:dyDescent="0.3">
      <c r="A247" s="278" t="s">
        <v>221</v>
      </c>
      <c r="B247" s="279"/>
      <c r="C247" s="279"/>
      <c r="D247" s="279"/>
      <c r="E247" s="438" t="s">
        <v>376</v>
      </c>
      <c r="F247" s="438"/>
      <c r="G247" s="438"/>
      <c r="H247" s="438"/>
      <c r="I247" s="438"/>
      <c r="J247" s="438"/>
    </row>
    <row r="248" spans="1:10" x14ac:dyDescent="0.3">
      <c r="A248" s="279"/>
      <c r="B248" s="279"/>
      <c r="C248" s="279"/>
      <c r="D248" s="279"/>
      <c r="E248" s="279"/>
      <c r="F248" s="279"/>
      <c r="G248" s="279"/>
      <c r="H248" s="279"/>
      <c r="I248" s="279"/>
      <c r="J248" s="279"/>
    </row>
    <row r="249" spans="1:10" ht="28.8" x14ac:dyDescent="0.3">
      <c r="A249" s="279"/>
      <c r="B249" s="279"/>
      <c r="C249" s="279"/>
      <c r="D249" s="279"/>
      <c r="E249" s="258" t="s">
        <v>222</v>
      </c>
      <c r="F249" s="258" t="s">
        <v>223</v>
      </c>
      <c r="G249" s="258" t="s">
        <v>224</v>
      </c>
      <c r="H249" s="258" t="s">
        <v>225</v>
      </c>
      <c r="I249" s="258" t="s">
        <v>226</v>
      </c>
      <c r="J249" s="279"/>
    </row>
    <row r="250" spans="1:10" x14ac:dyDescent="0.3">
      <c r="A250" s="279" t="s">
        <v>227</v>
      </c>
      <c r="B250" s="279"/>
      <c r="C250" s="188"/>
      <c r="D250" s="279" t="s">
        <v>228</v>
      </c>
      <c r="E250" s="188"/>
      <c r="F250" s="188"/>
      <c r="G250" s="188"/>
      <c r="H250" s="188"/>
      <c r="I250" s="188"/>
      <c r="J250" s="259" t="str">
        <f>CONCATENATE(E250,F250,G250,H250,I250)</f>
        <v/>
      </c>
    </row>
    <row r="251" spans="1:10" ht="28.8" x14ac:dyDescent="0.3">
      <c r="A251" s="279"/>
      <c r="B251" s="279"/>
      <c r="C251" s="140"/>
      <c r="D251" s="279"/>
      <c r="E251" s="258" t="s">
        <v>229</v>
      </c>
      <c r="F251" s="258" t="s">
        <v>230</v>
      </c>
      <c r="G251" s="258" t="s">
        <v>231</v>
      </c>
      <c r="H251" s="13"/>
      <c r="I251" s="279"/>
      <c r="J251" s="279"/>
    </row>
    <row r="252" spans="1:10" x14ac:dyDescent="0.3">
      <c r="A252" s="279" t="s">
        <v>232</v>
      </c>
      <c r="B252" s="279"/>
      <c r="C252" s="188"/>
      <c r="D252" s="279" t="s">
        <v>233</v>
      </c>
      <c r="E252" s="188"/>
      <c r="F252" s="188"/>
      <c r="G252" s="188"/>
      <c r="H252" s="259" t="str">
        <f>CONCATENATE(E252,F252,G252)</f>
        <v/>
      </c>
      <c r="I252" s="260" t="str">
        <f>IF(H252&gt;"Y","WARNING","")</f>
        <v/>
      </c>
      <c r="J252" s="279"/>
    </row>
    <row r="253" spans="1:10" ht="43.2" x14ac:dyDescent="0.3">
      <c r="A253" s="279"/>
      <c r="B253" s="279"/>
      <c r="C253" s="140"/>
      <c r="D253" s="279"/>
      <c r="E253" s="258" t="s">
        <v>234</v>
      </c>
      <c r="F253" s="258" t="s">
        <v>235</v>
      </c>
      <c r="G253" s="279"/>
      <c r="H253" s="279"/>
      <c r="I253" s="279"/>
      <c r="J253" s="279"/>
    </row>
    <row r="254" spans="1:10" x14ac:dyDescent="0.3">
      <c r="A254" s="279" t="s">
        <v>236</v>
      </c>
      <c r="B254" s="279"/>
      <c r="C254" s="188"/>
      <c r="D254" s="279" t="s">
        <v>237</v>
      </c>
      <c r="E254" s="188"/>
      <c r="F254" s="188"/>
      <c r="G254" s="259" t="str">
        <f>CONCATENATE(E254,F254)</f>
        <v/>
      </c>
      <c r="H254" s="279" t="str">
        <f>IF(G254&gt;"Y","WARNING","")</f>
        <v/>
      </c>
      <c r="I254" s="279"/>
      <c r="J254" s="279"/>
    </row>
    <row r="255" spans="1:10" x14ac:dyDescent="0.3">
      <c r="A255" s="279"/>
      <c r="B255" s="279"/>
      <c r="C255" s="279"/>
      <c r="D255" s="279"/>
      <c r="E255" s="279"/>
      <c r="F255" s="279"/>
      <c r="G255" s="279"/>
      <c r="H255" s="279"/>
      <c r="I255" s="279"/>
      <c r="J255" s="279"/>
    </row>
    <row r="256" spans="1:10" x14ac:dyDescent="0.3">
      <c r="A256" s="278" t="s">
        <v>238</v>
      </c>
      <c r="B256" s="279"/>
      <c r="C256" s="279"/>
      <c r="D256" s="279"/>
      <c r="E256" s="261"/>
      <c r="F256" s="140"/>
      <c r="G256" s="140"/>
      <c r="H256" s="140"/>
      <c r="I256" s="140"/>
      <c r="J256" s="279"/>
    </row>
    <row r="257" spans="1:11" x14ac:dyDescent="0.3">
      <c r="A257" s="279"/>
      <c r="B257" s="279"/>
      <c r="C257" s="279"/>
      <c r="D257" s="279"/>
      <c r="E257" s="140"/>
      <c r="F257" s="140"/>
      <c r="G257" s="140"/>
      <c r="H257" s="140"/>
      <c r="I257" s="140"/>
      <c r="J257" s="279"/>
    </row>
    <row r="258" spans="1:11" x14ac:dyDescent="0.3">
      <c r="A258" s="279" t="s">
        <v>239</v>
      </c>
      <c r="B258" s="279"/>
      <c r="C258" s="188"/>
      <c r="D258" s="279" t="s">
        <v>240</v>
      </c>
      <c r="E258" s="261"/>
      <c r="F258" s="140"/>
      <c r="G258" s="140"/>
      <c r="H258" s="140"/>
      <c r="I258" s="140"/>
      <c r="J258" s="279"/>
    </row>
    <row r="259" spans="1:11" x14ac:dyDescent="0.3">
      <c r="A259" s="279" t="s">
        <v>241</v>
      </c>
      <c r="B259" s="279"/>
      <c r="C259" s="188"/>
      <c r="D259" s="279" t="s">
        <v>242</v>
      </c>
      <c r="E259" s="140"/>
      <c r="F259" s="140"/>
      <c r="G259" s="140"/>
      <c r="H259" s="140"/>
      <c r="I259" s="140"/>
      <c r="J259" s="279"/>
    </row>
    <row r="260" spans="1:11" x14ac:dyDescent="0.3">
      <c r="A260" s="279" t="s">
        <v>243</v>
      </c>
      <c r="B260" s="279"/>
      <c r="C260" s="188"/>
      <c r="D260" s="279" t="s">
        <v>244</v>
      </c>
      <c r="E260" s="261"/>
      <c r="F260" s="140"/>
      <c r="G260" s="140"/>
      <c r="H260" s="140"/>
      <c r="I260" s="140"/>
      <c r="J260" s="279"/>
    </row>
    <row r="261" spans="1:11" x14ac:dyDescent="0.3">
      <c r="A261" s="279"/>
      <c r="B261" s="279"/>
      <c r="C261" s="279"/>
      <c r="D261" s="279"/>
      <c r="E261" s="140"/>
      <c r="F261" s="140"/>
      <c r="G261" s="140"/>
      <c r="H261" s="140"/>
      <c r="I261" s="140"/>
      <c r="J261" s="279"/>
    </row>
    <row r="262" spans="1:11" x14ac:dyDescent="0.3">
      <c r="A262" s="278" t="s">
        <v>245</v>
      </c>
      <c r="B262" s="279"/>
      <c r="C262" s="279"/>
      <c r="D262" s="279"/>
      <c r="E262" s="261"/>
      <c r="F262" s="140"/>
      <c r="G262" s="140"/>
      <c r="H262" s="140"/>
      <c r="I262" s="140"/>
      <c r="J262" s="279"/>
    </row>
    <row r="263" spans="1:11" x14ac:dyDescent="0.3">
      <c r="A263" s="279" t="s">
        <v>246</v>
      </c>
      <c r="B263" s="279"/>
      <c r="C263" s="188"/>
      <c r="D263" s="279" t="s">
        <v>247</v>
      </c>
      <c r="E263" s="140"/>
      <c r="F263" s="140"/>
      <c r="G263" s="140"/>
      <c r="H263" s="140"/>
      <c r="I263" s="140"/>
      <c r="J263" s="279"/>
    </row>
    <row r="264" spans="1:11" x14ac:dyDescent="0.3">
      <c r="A264" s="279" t="s">
        <v>248</v>
      </c>
      <c r="B264" s="279"/>
      <c r="C264" s="188"/>
      <c r="D264" s="279" t="s">
        <v>249</v>
      </c>
      <c r="E264" s="261"/>
      <c r="F264" s="140"/>
      <c r="G264" s="140"/>
      <c r="H264" s="140"/>
      <c r="I264" s="140"/>
      <c r="J264" s="279"/>
    </row>
    <row r="265" spans="1:11" x14ac:dyDescent="0.3">
      <c r="A265" s="279" t="s">
        <v>250</v>
      </c>
      <c r="B265" s="279"/>
      <c r="C265" s="188"/>
      <c r="D265" s="279" t="s">
        <v>251</v>
      </c>
      <c r="E265" s="261"/>
      <c r="F265" s="140"/>
      <c r="G265" s="140"/>
      <c r="H265" s="140"/>
      <c r="I265" s="140"/>
      <c r="J265" s="279"/>
    </row>
    <row r="266" spans="1:11" x14ac:dyDescent="0.3">
      <c r="A266" s="279" t="s">
        <v>252</v>
      </c>
      <c r="B266" s="279"/>
      <c r="C266" s="188"/>
      <c r="D266" s="279" t="s">
        <v>253</v>
      </c>
      <c r="E266" s="140"/>
      <c r="F266" s="140"/>
      <c r="G266" s="140"/>
      <c r="H266" s="140"/>
      <c r="I266" s="140"/>
      <c r="J266" s="279"/>
    </row>
    <row r="267" spans="1:11" x14ac:dyDescent="0.3">
      <c r="A267" s="279"/>
      <c r="B267" s="279"/>
      <c r="C267" s="279"/>
      <c r="D267" s="279"/>
      <c r="E267" s="279"/>
      <c r="F267" s="279"/>
      <c r="G267" s="279"/>
      <c r="H267" s="279"/>
      <c r="I267" s="279"/>
      <c r="J267" s="279"/>
    </row>
    <row r="268" spans="1:11" x14ac:dyDescent="0.3">
      <c r="A268" s="262" t="s">
        <v>254</v>
      </c>
      <c r="B268" s="262"/>
      <c r="C268" s="263">
        <f>1000*((('5. User defined fertiliser'!C250/100)*'Default data'!C336:D336)+(('5. User defined fertiliser'!C252/100)*'Default data'!C342:D342)+(('5. User defined fertiliser'!C254/100)*'Default data'!C347:D347)+(('5. User defined fertiliser'!C258/100)*'Default data'!C349:D349)+(('5. User defined fertiliser'!C259/100)*'Default data'!C350:D350)+(('5. User defined fertiliser'!C260/100)*'Default data'!C351:D351)+(('5. User defined fertiliser'!C263/100)*'Default data'!C352:D352)+(('5. User defined fertiliser'!C264/100)*'Default data'!C353:D353)+(('5. User defined fertiliser'!C265/100)*'Default data'!C354:D354)+(('5. User defined fertiliser'!C266/100)*'Default data'!C355:D355))</f>
        <v>0</v>
      </c>
      <c r="D268" s="279"/>
      <c r="E268" s="279"/>
      <c r="F268" s="279"/>
      <c r="G268" s="279"/>
      <c r="H268" s="279"/>
      <c r="I268" s="279"/>
      <c r="J268" s="279"/>
    </row>
    <row r="269" spans="1:11" x14ac:dyDescent="0.3">
      <c r="A269" s="280"/>
      <c r="B269" s="280"/>
      <c r="C269" s="280"/>
      <c r="D269" s="280"/>
      <c r="E269" s="280"/>
      <c r="F269" s="280"/>
      <c r="G269" s="280"/>
      <c r="H269" s="280"/>
      <c r="I269" s="280"/>
      <c r="J269" s="280"/>
    </row>
    <row r="270" spans="1:11" x14ac:dyDescent="0.3">
      <c r="A270" s="279"/>
      <c r="B270" s="279"/>
      <c r="C270" s="279"/>
      <c r="D270" s="279"/>
      <c r="E270" s="279"/>
      <c r="F270" s="279"/>
      <c r="G270" s="279"/>
      <c r="H270" s="413"/>
      <c r="I270" s="279"/>
      <c r="J270" s="414"/>
      <c r="K270" s="415"/>
    </row>
    <row r="271" spans="1:11" x14ac:dyDescent="0.3">
      <c r="A271" s="412" t="s">
        <v>467</v>
      </c>
      <c r="B271" s="280"/>
      <c r="C271" s="280"/>
      <c r="D271" s="280"/>
      <c r="E271" s="280"/>
      <c r="F271" s="280"/>
      <c r="G271" s="280"/>
      <c r="H271" s="413"/>
      <c r="I271" s="280"/>
      <c r="J271" s="414"/>
      <c r="K271" s="415"/>
    </row>
    <row r="272" spans="1:11" x14ac:dyDescent="0.3">
      <c r="A272" s="280"/>
      <c r="B272" s="280"/>
      <c r="C272" s="280"/>
      <c r="D272" s="280"/>
      <c r="E272" s="280"/>
      <c r="F272" s="280"/>
      <c r="G272" s="280"/>
      <c r="H272" s="413"/>
      <c r="I272" s="280"/>
      <c r="J272" s="414"/>
      <c r="K272" s="415"/>
    </row>
    <row r="273" spans="11:12" x14ac:dyDescent="0.3">
      <c r="K273" s="415"/>
      <c r="L273" s="415"/>
    </row>
  </sheetData>
  <mergeCells count="11">
    <mergeCell ref="A2:H2"/>
    <mergeCell ref="E169:J169"/>
    <mergeCell ref="E195:J195"/>
    <mergeCell ref="E221:J221"/>
    <mergeCell ref="E247:J247"/>
    <mergeCell ref="E8:J8"/>
    <mergeCell ref="E39:J39"/>
    <mergeCell ref="E65:J65"/>
    <mergeCell ref="E91:J91"/>
    <mergeCell ref="E117:J117"/>
    <mergeCell ref="E143:J143"/>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Introduction</vt:lpstr>
      <vt:lpstr>Abbreviation</vt:lpstr>
      <vt:lpstr>Instructions</vt:lpstr>
      <vt:lpstr>Results Summary</vt:lpstr>
      <vt:lpstr>1. LUC emissions</vt:lpstr>
      <vt:lpstr>2. FFB Production</vt:lpstr>
      <vt:lpstr>3. Field fuel</vt:lpstr>
      <vt:lpstr>4. Peat</vt:lpstr>
      <vt:lpstr>5. User defined fertiliser</vt:lpstr>
      <vt:lpstr>6. Fertiliser and N2O</vt:lpstr>
      <vt:lpstr>7. Conservation Area seq</vt:lpstr>
      <vt:lpstr>8. Crop sequestration</vt:lpstr>
      <vt:lpstr>9. Mill data</vt:lpstr>
      <vt:lpstr>Default data</vt:lpstr>
      <vt:lpstr>Allocation to crop products</vt:lpstr>
      <vt:lpstr>References</vt:lpstr>
      <vt:lpstr>LandUse</vt:lpstr>
      <vt:lpstr>LandUseType</vt:lpstr>
    </vt:vector>
  </TitlesOfParts>
  <Company>AAA COMPUTER REPAIRS.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Chase, Ian Henson, Amir Abdul-Manan</dc:creator>
  <cp:lastModifiedBy>Amir Afham</cp:lastModifiedBy>
  <dcterms:created xsi:type="dcterms:W3CDTF">2010-03-24T16:23:26Z</dcterms:created>
  <dcterms:modified xsi:type="dcterms:W3CDTF">2021-09-14T08:05:10Z</dcterms:modified>
</cp:coreProperties>
</file>